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vinschacko/Desktop/Resource Allocation 22 23/"/>
    </mc:Choice>
  </mc:AlternateContent>
  <xr:revisionPtr revIDLastSave="0" documentId="13_ncr:1_{D721E064-BD8A-F741-90A8-7F18A8F9D7B0}" xr6:coauthVersionLast="36" xr6:coauthVersionMax="47" xr10:uidLastSave="{00000000-0000-0000-0000-000000000000}"/>
  <bookViews>
    <workbookView xWindow="3140" yWindow="3280" windowWidth="31320" windowHeight="21220" activeTab="1" xr2:uid="{00000000-000D-0000-FFFF-FFFF00000000}"/>
  </bookViews>
  <sheets>
    <sheet name="Grants Balance" sheetId="10" r:id="rId1"/>
    <sheet name="SWP Total Allocated 2 9 2023" sheetId="15" r:id="rId2"/>
    <sheet name="BCAT" sheetId="1" r:id="rId3"/>
    <sheet name="BHES" sheetId="9" r:id="rId4"/>
    <sheet name="CTE" sheetId="5" r:id="rId5"/>
    <sheet name="LA" sheetId="6" r:id="rId6"/>
    <sheet name="IIS" sheetId="8" r:id="rId7"/>
    <sheet name="SSH" sheetId="7" r:id="rId8"/>
    <sheet name="SWP 6 Balance" sheetId="11" r:id="rId9"/>
    <sheet name="Perkins 22_23 Balane" sheetId="12" r:id="rId10"/>
    <sheet name="SWP 7 Regional Budget" sheetId="13" r:id="rId11"/>
    <sheet name="SWP 7 Local Budget" sheetId="14" r:id="rId12"/>
  </sheets>
  <definedNames>
    <definedName name="_xlnm.Print_Area" localSheetId="11">'SWP 7 Local Budget'!$A$1:$N$36</definedName>
  </definedNames>
  <calcPr calcId="181029"/>
</workbook>
</file>

<file path=xl/calcChain.xml><?xml version="1.0" encoding="utf-8"?>
<calcChain xmlns="http://schemas.openxmlformats.org/spreadsheetml/2006/main">
  <c r="E38" i="15" l="1"/>
  <c r="E37" i="15"/>
  <c r="E20" i="15"/>
  <c r="F20" i="15" s="1"/>
  <c r="D30" i="15" s="1"/>
  <c r="E21" i="15"/>
  <c r="E19" i="15"/>
  <c r="E18" i="15"/>
  <c r="E17" i="15"/>
  <c r="E16" i="15"/>
  <c r="E15" i="15"/>
  <c r="E14" i="15"/>
  <c r="E13" i="15"/>
  <c r="E12" i="15"/>
  <c r="E11" i="15"/>
  <c r="E10" i="15"/>
  <c r="E9" i="15"/>
  <c r="E8" i="15"/>
  <c r="E7" i="15"/>
  <c r="E6" i="15"/>
  <c r="E5" i="15"/>
  <c r="E4" i="15"/>
  <c r="E3" i="15"/>
  <c r="D36" i="15"/>
  <c r="F36" i="15" s="1"/>
  <c r="D37" i="15"/>
  <c r="F37" i="15" s="1"/>
  <c r="D38" i="15"/>
  <c r="D35" i="15"/>
  <c r="F35" i="15" s="1"/>
  <c r="D4" i="15"/>
  <c r="D5" i="15"/>
  <c r="F5" i="15" s="1"/>
  <c r="D6" i="15"/>
  <c r="D7" i="15"/>
  <c r="F7" i="15" s="1"/>
  <c r="D8" i="15"/>
  <c r="D9" i="15"/>
  <c r="F9" i="15" s="1"/>
  <c r="D10" i="15"/>
  <c r="D11" i="15"/>
  <c r="F11" i="15" s="1"/>
  <c r="D12" i="15"/>
  <c r="D13" i="15"/>
  <c r="F13" i="15" s="1"/>
  <c r="D14" i="15"/>
  <c r="D15" i="15"/>
  <c r="F15" i="15" s="1"/>
  <c r="D16" i="15"/>
  <c r="D17" i="15"/>
  <c r="F17" i="15" s="1"/>
  <c r="D18" i="15"/>
  <c r="D19" i="15"/>
  <c r="F19" i="15" s="1"/>
  <c r="D21" i="15"/>
  <c r="D3" i="15"/>
  <c r="J32" i="14"/>
  <c r="I32" i="14"/>
  <c r="K31" i="14"/>
  <c r="E31" i="14"/>
  <c r="E32" i="14" s="1"/>
  <c r="D31" i="14"/>
  <c r="M30" i="14"/>
  <c r="M29" i="14"/>
  <c r="M28" i="14"/>
  <c r="K27" i="14"/>
  <c r="K32" i="14" s="1"/>
  <c r="J27" i="14"/>
  <c r="I27" i="14"/>
  <c r="H27" i="14"/>
  <c r="G27" i="14"/>
  <c r="G31" i="14" s="1"/>
  <c r="F27" i="14"/>
  <c r="F31" i="14" s="1"/>
  <c r="F32" i="14" s="1"/>
  <c r="D27" i="14"/>
  <c r="D32" i="14" s="1"/>
  <c r="M26" i="14"/>
  <c r="M25" i="14"/>
  <c r="M15" i="14"/>
  <c r="L15" i="14"/>
  <c r="M14" i="14"/>
  <c r="L14" i="14"/>
  <c r="K14" i="14"/>
  <c r="G14" i="14"/>
  <c r="N10" i="14"/>
  <c r="N14" i="14" s="1"/>
  <c r="K10" i="14"/>
  <c r="K15" i="14" s="1"/>
  <c r="J10" i="14"/>
  <c r="J14" i="14" s="1"/>
  <c r="I10" i="14"/>
  <c r="H10" i="14"/>
  <c r="H14" i="14" s="1"/>
  <c r="G10" i="14"/>
  <c r="G15" i="14" s="1"/>
  <c r="F10" i="14"/>
  <c r="F14" i="14" s="1"/>
  <c r="E10" i="14"/>
  <c r="D10" i="14"/>
  <c r="D14" i="14" s="1"/>
  <c r="F17" i="13"/>
  <c r="D17" i="13"/>
  <c r="I15" i="13"/>
  <c r="I17" i="13" s="1"/>
  <c r="F15" i="13"/>
  <c r="E15" i="13"/>
  <c r="E17" i="13" s="1"/>
  <c r="D15" i="13"/>
  <c r="J13" i="13"/>
  <c r="J12" i="13"/>
  <c r="J11" i="13"/>
  <c r="I10" i="13"/>
  <c r="H10" i="13"/>
  <c r="H15" i="13" s="1"/>
  <c r="H17" i="13" s="1"/>
  <c r="G10" i="13"/>
  <c r="J10" i="13" s="1"/>
  <c r="J9" i="13"/>
  <c r="J8" i="13"/>
  <c r="F3" i="15" l="1"/>
  <c r="E39" i="15"/>
  <c r="F21" i="15"/>
  <c r="D28" i="15" s="1"/>
  <c r="F16" i="15"/>
  <c r="F12" i="15"/>
  <c r="F8" i="15"/>
  <c r="F4" i="15"/>
  <c r="F18" i="15"/>
  <c r="D27" i="15" s="1"/>
  <c r="F14" i="15"/>
  <c r="F10" i="15"/>
  <c r="D31" i="15" s="1"/>
  <c r="F6" i="15"/>
  <c r="F38" i="15"/>
  <c r="F39" i="15" s="1"/>
  <c r="D26" i="15"/>
  <c r="D39" i="15"/>
  <c r="E22" i="15"/>
  <c r="D22" i="15"/>
  <c r="E15" i="14"/>
  <c r="I15" i="14"/>
  <c r="E14" i="14"/>
  <c r="M31" i="14" s="1"/>
  <c r="I14" i="14"/>
  <c r="F15" i="14"/>
  <c r="J15" i="14"/>
  <c r="N15" i="14"/>
  <c r="G32" i="14"/>
  <c r="D15" i="14"/>
  <c r="H15" i="14"/>
  <c r="M27" i="14"/>
  <c r="H31" i="14"/>
  <c r="H32" i="14" s="1"/>
  <c r="G15" i="13"/>
  <c r="G17" i="13" s="1"/>
  <c r="D25" i="15" l="1"/>
  <c r="F22" i="15"/>
  <c r="M32" i="14"/>
  <c r="J15" i="13"/>
  <c r="E17" i="10" l="1"/>
  <c r="E16" i="10"/>
  <c r="G15" i="10"/>
  <c r="E15" i="10"/>
  <c r="M7" i="12"/>
  <c r="E28" i="12"/>
  <c r="E22" i="12"/>
  <c r="E26" i="12" s="1"/>
  <c r="D22" i="12"/>
  <c r="G21" i="12"/>
  <c r="G20" i="12"/>
  <c r="G19" i="12"/>
  <c r="G18" i="12"/>
  <c r="G17" i="12"/>
  <c r="G16" i="12"/>
  <c r="G15" i="12"/>
  <c r="G14" i="12"/>
  <c r="G13" i="12"/>
  <c r="G12" i="12"/>
  <c r="G11" i="12"/>
  <c r="G10" i="12"/>
  <c r="G9" i="12"/>
  <c r="G8" i="12"/>
  <c r="G7" i="12"/>
  <c r="G6" i="12"/>
  <c r="G5" i="12"/>
  <c r="F4" i="12"/>
  <c r="F22" i="12" s="1"/>
  <c r="G3" i="12"/>
  <c r="F33" i="11"/>
  <c r="N12" i="11"/>
  <c r="N11" i="11"/>
  <c r="E38" i="11" s="1"/>
  <c r="N9" i="11"/>
  <c r="N7" i="11"/>
  <c r="G34" i="11"/>
  <c r="F34" i="11"/>
  <c r="E36" i="11" s="1"/>
  <c r="E34" i="11"/>
  <c r="D34" i="11"/>
  <c r="H33" i="11"/>
  <c r="H32" i="11"/>
  <c r="H31" i="11"/>
  <c r="H30" i="11"/>
  <c r="D21" i="11"/>
  <c r="H20" i="11"/>
  <c r="H19" i="11"/>
  <c r="E18" i="11"/>
  <c r="H18" i="11" s="1"/>
  <c r="H17" i="11"/>
  <c r="H16" i="11"/>
  <c r="H15" i="11"/>
  <c r="H14" i="11"/>
  <c r="H13" i="11"/>
  <c r="H12" i="11"/>
  <c r="G11" i="11"/>
  <c r="G21" i="11" s="1"/>
  <c r="F10" i="11"/>
  <c r="F21" i="11" s="1"/>
  <c r="E10" i="11"/>
  <c r="E9" i="11"/>
  <c r="H9" i="11" s="1"/>
  <c r="H8" i="11"/>
  <c r="H7" i="11"/>
  <c r="H6" i="11"/>
  <c r="H5" i="11"/>
  <c r="H4" i="11"/>
  <c r="E3" i="11"/>
  <c r="G16" i="10"/>
  <c r="G13" i="10"/>
  <c r="G14" i="10"/>
  <c r="G17" i="10"/>
  <c r="G19" i="10"/>
  <c r="G20" i="10"/>
  <c r="E12" i="10"/>
  <c r="D11" i="10"/>
  <c r="G11" i="10" s="1"/>
  <c r="D12" i="10"/>
  <c r="G4" i="12" l="1"/>
  <c r="E29" i="12"/>
  <c r="E27" i="12"/>
  <c r="G22" i="12"/>
  <c r="E21" i="11"/>
  <c r="H10" i="11"/>
  <c r="E23" i="11"/>
  <c r="E24" i="11" s="1"/>
  <c r="H3" i="11"/>
  <c r="E25" i="11"/>
  <c r="H34" i="11"/>
  <c r="E39" i="11"/>
  <c r="H21" i="11"/>
  <c r="E37" i="11"/>
  <c r="H11" i="11"/>
  <c r="G12" i="10"/>
  <c r="E26" i="11" l="1"/>
  <c r="L67" i="9" l="1"/>
  <c r="K6" i="9" l="1"/>
  <c r="L6" i="9" s="1"/>
  <c r="N6" i="9" s="1"/>
  <c r="K7" i="9"/>
  <c r="L7" i="9" s="1"/>
  <c r="K8" i="9"/>
  <c r="L8" i="9" s="1"/>
  <c r="K9" i="9"/>
  <c r="L9" i="9" s="1"/>
  <c r="K10" i="9"/>
  <c r="L10" i="9" s="1"/>
  <c r="K11" i="9"/>
  <c r="L11" i="9" s="1"/>
  <c r="K12" i="9"/>
  <c r="L12" i="9" s="1"/>
  <c r="K13" i="9"/>
  <c r="L13" i="9" s="1"/>
  <c r="K14" i="9"/>
  <c r="K15" i="9"/>
  <c r="L15" i="9" s="1"/>
  <c r="K16" i="9"/>
  <c r="L16" i="9" s="1"/>
  <c r="K17" i="9"/>
  <c r="L17" i="9" s="1"/>
  <c r="K18" i="9"/>
  <c r="L18" i="9" s="1"/>
  <c r="K20" i="9"/>
  <c r="L20" i="9" s="1"/>
  <c r="K21" i="9"/>
  <c r="K22" i="9"/>
  <c r="L22" i="9" s="1"/>
  <c r="K23" i="9"/>
  <c r="L23" i="9" s="1"/>
  <c r="K24" i="9"/>
  <c r="L24" i="9" s="1"/>
  <c r="K26" i="9"/>
  <c r="L26" i="9" s="1"/>
  <c r="L28" i="9"/>
  <c r="M28" i="9"/>
  <c r="L29" i="9"/>
  <c r="N29" i="9" s="1"/>
  <c r="L30" i="9"/>
  <c r="M30" i="9"/>
  <c r="L31" i="9"/>
  <c r="M31" i="9"/>
  <c r="L32" i="9"/>
  <c r="M32" i="9"/>
  <c r="N49" i="9"/>
  <c r="K51" i="9"/>
  <c r="L51" i="9" s="1"/>
  <c r="K52" i="9"/>
  <c r="L52" i="9" s="1"/>
  <c r="N52" i="9" s="1"/>
  <c r="K53" i="9"/>
  <c r="L53" i="9" s="1"/>
  <c r="K54" i="9"/>
  <c r="L54" i="9" s="1"/>
  <c r="K55" i="9"/>
  <c r="K56" i="9"/>
  <c r="L56" i="9" s="1"/>
  <c r="K57" i="9"/>
  <c r="L57" i="9" s="1"/>
  <c r="K58" i="9"/>
  <c r="L58" i="9" s="1"/>
  <c r="K59" i="9"/>
  <c r="L59" i="9" s="1"/>
  <c r="K60" i="9"/>
  <c r="K61" i="9"/>
  <c r="L61" i="9" s="1"/>
  <c r="K62" i="9"/>
  <c r="L62" i="9" s="1"/>
  <c r="K63" i="9"/>
  <c r="L63" i="9" s="1"/>
  <c r="K64" i="9"/>
  <c r="L64" i="9" s="1"/>
  <c r="K65" i="9"/>
  <c r="L65" i="9" s="1"/>
  <c r="K66" i="9"/>
  <c r="L66" i="9" s="1"/>
  <c r="K67" i="9"/>
  <c r="K68" i="9"/>
  <c r="K69" i="9"/>
  <c r="L69" i="9" s="1"/>
  <c r="K70" i="9"/>
  <c r="L70" i="9" s="1"/>
  <c r="N96" i="9"/>
  <c r="L99" i="9"/>
  <c r="N99" i="9" s="1"/>
  <c r="L100" i="9"/>
  <c r="N100" i="9" s="1"/>
  <c r="L101" i="9"/>
  <c r="N101" i="9" s="1"/>
  <c r="L102" i="9"/>
  <c r="N102" i="9" s="1"/>
  <c r="N103" i="9"/>
  <c r="N33" i="9"/>
  <c r="K71" i="9"/>
  <c r="L71" i="9" s="1"/>
  <c r="K72" i="9"/>
  <c r="L72" i="9" s="1"/>
  <c r="K73" i="9"/>
  <c r="L73" i="9" s="1"/>
  <c r="K74" i="9"/>
  <c r="L74" i="9" s="1"/>
  <c r="K75" i="9"/>
  <c r="L75" i="9" s="1"/>
  <c r="K76" i="9"/>
  <c r="L76" i="9" s="1"/>
  <c r="K77" i="9"/>
  <c r="L77" i="9" s="1"/>
  <c r="K47" i="9"/>
  <c r="L47" i="9" s="1"/>
  <c r="N47" i="9" s="1"/>
  <c r="K48" i="9"/>
  <c r="L48" i="9" s="1"/>
  <c r="K78" i="9"/>
  <c r="L78" i="9" s="1"/>
  <c r="K79" i="9"/>
  <c r="L6" i="8"/>
  <c r="N28" i="8"/>
  <c r="N22" i="7"/>
  <c r="N30" i="6"/>
  <c r="K6" i="5"/>
  <c r="N6" i="5"/>
  <c r="K7" i="5"/>
  <c r="N7" i="5"/>
  <c r="K8" i="5"/>
  <c r="N8" i="5"/>
  <c r="K9" i="5"/>
  <c r="N9" i="5"/>
  <c r="K10" i="5"/>
  <c r="N10" i="5"/>
  <c r="K11" i="5"/>
  <c r="N11" i="5"/>
  <c r="K12" i="5"/>
  <c r="L12" i="5"/>
  <c r="N12" i="5"/>
  <c r="K13" i="5"/>
  <c r="N13" i="5" s="1"/>
  <c r="K14" i="5"/>
  <c r="N14" i="5"/>
  <c r="K15" i="5"/>
  <c r="N15" i="5" s="1"/>
  <c r="K16" i="5"/>
  <c r="N16" i="5"/>
  <c r="K17" i="5"/>
  <c r="L17" i="5" s="1"/>
  <c r="K18" i="5"/>
  <c r="N18" i="5" s="1"/>
  <c r="L18" i="5"/>
  <c r="K19" i="5"/>
  <c r="N19" i="5"/>
  <c r="K20" i="5"/>
  <c r="L20" i="5" s="1"/>
  <c r="N10" i="9" l="1"/>
  <c r="L68" i="9"/>
  <c r="N68" i="9" s="1"/>
  <c r="N57" i="9"/>
  <c r="N56" i="9"/>
  <c r="N61" i="9"/>
  <c r="N32" i="9"/>
  <c r="N23" i="9"/>
  <c r="N22" i="9"/>
  <c r="N17" i="9"/>
  <c r="N76" i="9"/>
  <c r="N75" i="9"/>
  <c r="N73" i="9"/>
  <c r="N9" i="9"/>
  <c r="N65" i="9"/>
  <c r="L60" i="9"/>
  <c r="N60" i="9" s="1"/>
  <c r="L14" i="9"/>
  <c r="N14" i="9" s="1"/>
  <c r="N77" i="9"/>
  <c r="N67" i="9"/>
  <c r="N51" i="9"/>
  <c r="N30" i="9"/>
  <c r="N16" i="9"/>
  <c r="N48" i="9"/>
  <c r="N71" i="9"/>
  <c r="N69" i="9"/>
  <c r="N64" i="9"/>
  <c r="N63" i="9"/>
  <c r="N53" i="9"/>
  <c r="N18" i="9"/>
  <c r="N13" i="9"/>
  <c r="N12" i="9"/>
  <c r="N28" i="9"/>
  <c r="L79" i="9"/>
  <c r="N79" i="9" s="1"/>
  <c r="N74" i="9"/>
  <c r="N59" i="9"/>
  <c r="L55" i="9"/>
  <c r="N55" i="9" s="1"/>
  <c r="N31" i="9"/>
  <c r="N26" i="9"/>
  <c r="L21" i="9"/>
  <c r="N21" i="9" s="1"/>
  <c r="N8" i="9"/>
  <c r="N78" i="9"/>
  <c r="N72" i="9"/>
  <c r="N70" i="9"/>
  <c r="N66" i="9"/>
  <c r="N62" i="9"/>
  <c r="N58" i="9"/>
  <c r="N54" i="9"/>
  <c r="N24" i="9"/>
  <c r="N20" i="9"/>
  <c r="N15" i="9"/>
  <c r="N11" i="9"/>
  <c r="N7" i="9"/>
  <c r="N20" i="5"/>
  <c r="N17" i="5"/>
  <c r="N21" i="5" s="1"/>
  <c r="N123" i="9" l="1"/>
  <c r="N34" i="9"/>
  <c r="N27" i="9"/>
  <c r="N80" i="9"/>
  <c r="N94" i="1"/>
  <c r="K61" i="1"/>
  <c r="K60" i="1"/>
  <c r="K59" i="1"/>
  <c r="L59" i="1" s="1"/>
  <c r="K38" i="1"/>
  <c r="L38" i="1" s="1"/>
  <c r="N38" i="1" s="1"/>
  <c r="K39" i="1"/>
  <c r="L39" i="1" s="1"/>
  <c r="N39" i="1" s="1"/>
  <c r="K40" i="1"/>
  <c r="L40" i="1" s="1"/>
  <c r="N40" i="1" s="1"/>
  <c r="K41" i="1"/>
  <c r="L41" i="1" s="1"/>
  <c r="N41" i="1" s="1"/>
  <c r="K42" i="1"/>
  <c r="L42" i="1" s="1"/>
  <c r="N42" i="1" s="1"/>
  <c r="K43" i="1"/>
  <c r="L43" i="1" s="1"/>
  <c r="N43" i="1" s="1"/>
  <c r="K44" i="1"/>
  <c r="L44" i="1" s="1"/>
  <c r="N44" i="1" s="1"/>
  <c r="K45" i="1"/>
  <c r="L45" i="1" s="1"/>
  <c r="N45" i="1" s="1"/>
  <c r="K46" i="1"/>
  <c r="K47" i="1"/>
  <c r="N47" i="1" s="1"/>
  <c r="K48" i="1"/>
  <c r="K49" i="1"/>
  <c r="N49" i="1" s="1"/>
  <c r="K50" i="1"/>
  <c r="N50" i="1" s="1"/>
  <c r="K51" i="1"/>
  <c r="N51" i="1" s="1"/>
  <c r="K52" i="1"/>
  <c r="N52" i="1" s="1"/>
  <c r="K54" i="1"/>
  <c r="N54" i="1" s="1"/>
  <c r="K55" i="1"/>
  <c r="N55" i="1" s="1"/>
  <c r="K56" i="1"/>
  <c r="N56" i="1" s="1"/>
  <c r="K37" i="1"/>
  <c r="L37" i="1" s="1"/>
  <c r="N37" i="1" s="1"/>
  <c r="K27" i="1"/>
  <c r="N46" i="1"/>
  <c r="K33" i="1"/>
  <c r="K82" i="1"/>
  <c r="N82" i="1" s="1"/>
  <c r="K35" i="1"/>
  <c r="L35" i="1" s="1"/>
  <c r="K34" i="1"/>
  <c r="K32" i="1"/>
  <c r="L32" i="1" s="1"/>
  <c r="K31" i="1"/>
  <c r="L31" i="1" s="1"/>
  <c r="K30" i="1"/>
  <c r="K29" i="1"/>
  <c r="K28" i="1"/>
  <c r="K26" i="1"/>
  <c r="K25" i="1"/>
  <c r="N25" i="1" s="1"/>
  <c r="K24" i="1"/>
  <c r="N24" i="1" s="1"/>
  <c r="K23" i="1"/>
  <c r="K22" i="1"/>
  <c r="K21" i="1"/>
  <c r="K20" i="1"/>
  <c r="K19" i="1"/>
  <c r="K18" i="1"/>
  <c r="K17" i="1"/>
  <c r="K16" i="1"/>
  <c r="L16" i="1" s="1"/>
  <c r="K15" i="1"/>
  <c r="L15" i="1" s="1"/>
  <c r="K14" i="1"/>
  <c r="L14" i="1" s="1"/>
  <c r="K13" i="1"/>
  <c r="L13" i="1" s="1"/>
  <c r="K9" i="1"/>
  <c r="N9" i="1" s="1"/>
  <c r="N93" i="1"/>
  <c r="N84" i="1"/>
  <c r="K80" i="1"/>
  <c r="N80" i="1" s="1"/>
  <c r="K78" i="1"/>
  <c r="N78" i="1" s="1"/>
  <c r="K77" i="1"/>
  <c r="N77" i="1" s="1"/>
  <c r="K76" i="1"/>
  <c r="N76" i="1" s="1"/>
  <c r="K74" i="1"/>
  <c r="N74" i="1" s="1"/>
  <c r="K73" i="1"/>
  <c r="N73" i="1" s="1"/>
  <c r="K72" i="1"/>
  <c r="N72" i="1" s="1"/>
  <c r="K71" i="1"/>
  <c r="K70" i="1"/>
  <c r="N70" i="1" s="1"/>
  <c r="K69" i="1"/>
  <c r="N69" i="1" s="1"/>
  <c r="K68" i="1"/>
  <c r="N68" i="1" s="1"/>
  <c r="K67" i="1"/>
  <c r="N67" i="1" s="1"/>
  <c r="K64" i="1"/>
  <c r="K63" i="1"/>
  <c r="L63" i="1" s="1"/>
  <c r="K62" i="1"/>
  <c r="I53" i="1"/>
  <c r="K53" i="1" s="1"/>
  <c r="N48" i="1"/>
  <c r="K12" i="1"/>
  <c r="N12" i="1" s="1"/>
  <c r="K11" i="1"/>
  <c r="N11" i="1" s="1"/>
  <c r="K10" i="1"/>
  <c r="N10" i="1" s="1"/>
  <c r="K8" i="1"/>
  <c r="K7" i="1"/>
  <c r="L7" i="1" s="1"/>
  <c r="K6" i="1"/>
  <c r="L62" i="1" l="1"/>
  <c r="N62" i="1" s="1"/>
  <c r="L64" i="1"/>
  <c r="N64" i="1" s="1"/>
  <c r="L60" i="1"/>
  <c r="N60" i="1" s="1"/>
  <c r="L61" i="1"/>
  <c r="N61" i="1" s="1"/>
  <c r="N63" i="1"/>
  <c r="N59" i="1"/>
  <c r="N53" i="1"/>
  <c r="N35" i="1"/>
  <c r="N14" i="1"/>
  <c r="N15" i="1"/>
  <c r="L34" i="1"/>
  <c r="N34" i="1" s="1"/>
  <c r="N13" i="1"/>
  <c r="N16" i="1"/>
  <c r="L33" i="1"/>
  <c r="N33" i="1" s="1"/>
  <c r="L19" i="1"/>
  <c r="N19" i="1" s="1"/>
  <c r="N32" i="1"/>
  <c r="N31" i="1"/>
  <c r="L30" i="1"/>
  <c r="N30" i="1" s="1"/>
  <c r="L29" i="1"/>
  <c r="N29" i="1" s="1"/>
  <c r="L28" i="1"/>
  <c r="N28" i="1" s="1"/>
  <c r="L27" i="1"/>
  <c r="N27" i="1" s="1"/>
  <c r="L26" i="1"/>
  <c r="N26" i="1" s="1"/>
  <c r="L23" i="1"/>
  <c r="N23" i="1" s="1"/>
  <c r="L22" i="1"/>
  <c r="N22" i="1" s="1"/>
  <c r="L21" i="1"/>
  <c r="N21" i="1" s="1"/>
  <c r="L20" i="1"/>
  <c r="N20" i="1" s="1"/>
  <c r="L17" i="1"/>
  <c r="N17" i="1" s="1"/>
  <c r="L18" i="1"/>
  <c r="N18" i="1" s="1"/>
  <c r="L8" i="1"/>
  <c r="N8" i="1" s="1"/>
  <c r="N7" i="1"/>
  <c r="L6" i="1"/>
  <c r="N6" i="1" s="1"/>
</calcChain>
</file>

<file path=xl/sharedStrings.xml><?xml version="1.0" encoding="utf-8"?>
<sst xmlns="http://schemas.openxmlformats.org/spreadsheetml/2006/main" count="2429" uniqueCount="701">
  <si>
    <t>De Anza College: Instructional Planning and Budget Team</t>
  </si>
  <si>
    <r>
      <t xml:space="preserve">RESOURCE REQUEST LIST 2020-21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</si>
  <si>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</si>
  <si>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To be completed by  IPBT</t>
  </si>
  <si>
    <t>Other/Notes</t>
  </si>
  <si>
    <t xml:space="preserve">
Department</t>
  </si>
  <si>
    <t>Priority: Critical, Needed, Desirable</t>
  </si>
  <si>
    <r>
      <t xml:space="preserve">Category:
</t>
    </r>
    <r>
      <rPr>
        <sz val="9"/>
        <rFont val="Times New Roman"/>
        <family val="1"/>
      </rPr>
      <t>Equipment,
Facility, or
Other</t>
    </r>
  </si>
  <si>
    <t xml:space="preserve">Item(please remember, the subtotal value must be over $100) </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</si>
  <si>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</si>
  <si>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Infra-structure needed? Yes/No</t>
  </si>
  <si>
    <t xml:space="preserve">New Item or Replacement N/Rp </t>
  </si>
  <si>
    <t>Life Expectancy of  item (years)</t>
  </si>
  <si>
    <t>Per Item Cost</t>
  </si>
  <si>
    <t>Quantity</t>
  </si>
  <si>
    <t>Subtotal</t>
  </si>
  <si>
    <t>Tax
9.00%</t>
  </si>
  <si>
    <t>Shipping</t>
  </si>
  <si>
    <t>Total Cost</t>
  </si>
  <si>
    <t>Lottery</t>
  </si>
  <si>
    <t>Instructional Equipment Funding</t>
  </si>
  <si>
    <t>Strong Workforce Funds</t>
  </si>
  <si>
    <t>Perkins Funds</t>
  </si>
  <si>
    <t>Document #</t>
  </si>
  <si>
    <t>Auto Tech</t>
  </si>
  <si>
    <t>Critical</t>
  </si>
  <si>
    <t>Equipment</t>
  </si>
  <si>
    <t>CNG Filling Station</t>
  </si>
  <si>
    <t>Compressed Natural Gas (CNG) filling device has been purchased.  We have revisited this project, but no action by the project manager.  An original estimate for Architecture and Engineering only was $35,000.</t>
  </si>
  <si>
    <t>Yes</t>
  </si>
  <si>
    <t>N</t>
  </si>
  <si>
    <t>Y</t>
  </si>
  <si>
    <t xml:space="preserve"> </t>
  </si>
  <si>
    <t>License</t>
  </si>
  <si>
    <t>All data, with shop management</t>
  </si>
  <si>
    <t>1. All groups
2. No, small contribution to reducing the equity gap.  Current equity gap is 1%
3. Replacement equipment allows students to get more experience with tools and equipment needed for entry-level jobs</t>
  </si>
  <si>
    <t>No</t>
  </si>
  <si>
    <t>Rp</t>
  </si>
  <si>
    <t>Shopkey</t>
  </si>
  <si>
    <t>AERA membership and web-based information</t>
  </si>
  <si>
    <t xml:space="preserve">1. All groups
2. No, small contribution to reducing the equity gap.  Current equity gap is 1%
3. Replacement equipment allows students to get more experience with tools and equipment needed for entry-level jobs
</t>
  </si>
  <si>
    <t>ATRA membership and online training</t>
  </si>
  <si>
    <t>Personnel</t>
  </si>
  <si>
    <t>TEAs</t>
  </si>
  <si>
    <t>1. Underserved student populations
2. No, TEAs will help students who need assistance with classroom and lab activities
3. Auto Tech has been hiring TEAs for a few years, helping to increase success rates in evening classes like Auto 53A and Auto 60.  These classes have had historically low success rates</t>
  </si>
  <si>
    <t xml:space="preserve">N </t>
  </si>
  <si>
    <t>Peer tutors for on-campus help</t>
  </si>
  <si>
    <t>1. Underserved student populations
2. No, tutors will help students who need assistance with some of the more difficult auto tech classes
3. Auto Tech has been hiring tutors for years and our equity gap is proof to the effectiveness of tutors</t>
  </si>
  <si>
    <t>Needed</t>
  </si>
  <si>
    <t>Abrasive blast cleaning machine</t>
  </si>
  <si>
    <t>Includes tax and shipping</t>
  </si>
  <si>
    <t>Cleaning oven</t>
  </si>
  <si>
    <t>Soda blast cleaning machine</t>
  </si>
  <si>
    <t>Flywheel grinder</t>
  </si>
  <si>
    <t>shipping not included</t>
  </si>
  <si>
    <t>Software</t>
  </si>
  <si>
    <t>Scan tool software updates</t>
  </si>
  <si>
    <t>Transmission dyno upgrade</t>
  </si>
  <si>
    <t>Parts</t>
  </si>
  <si>
    <t>Electronic transmissins for repair class</t>
  </si>
  <si>
    <t>Tax and shipping is included in total</t>
  </si>
  <si>
    <t>Tools</t>
  </si>
  <si>
    <t>Transmission vacuum testers</t>
  </si>
  <si>
    <t>Tool set for transmission repair class</t>
  </si>
  <si>
    <t>Books</t>
  </si>
  <si>
    <t>Transmission repair manuals</t>
  </si>
  <si>
    <t>Facilities</t>
  </si>
  <si>
    <t>Toolroom storage renovation</t>
  </si>
  <si>
    <t xml:space="preserve">Yes </t>
  </si>
  <si>
    <t>Shipping and installation included</t>
  </si>
  <si>
    <t>Extend outdoor covered area.  Project was cut in 2009</t>
  </si>
  <si>
    <t>1. All groups
2. No, small contribution to reducing the equity gap.  Current equity gap is 1%
3. Extended cover allows students more room to work on projects outside</t>
  </si>
  <si>
    <t>New building in west lot for emerging technologies</t>
  </si>
  <si>
    <t>Rinse booth</t>
  </si>
  <si>
    <t>Tooling</t>
  </si>
  <si>
    <t>Engine parts organizer trays</t>
  </si>
  <si>
    <t>Manual valve spring compressor bench</t>
  </si>
  <si>
    <t>Secondary Ignition Clip-on Wire Adaptor: Snap-on EETM306A02 </t>
  </si>
  <si>
    <t>Secondary Coil Adapter Leads forSecondary Ignition Clip-on : Snap-on EETA309A05A</t>
  </si>
  <si>
    <t>Desirable</t>
  </si>
  <si>
    <t>CarCaddy Electric car pusher</t>
  </si>
  <si>
    <t>Fuel Pressure master test kits: Snap-On EEFI500A</t>
  </si>
  <si>
    <t>Floor cleaning equipment</t>
  </si>
  <si>
    <t>Diamond abrasive and tool holder set (Rottler)</t>
  </si>
  <si>
    <t>Supplies</t>
  </si>
  <si>
    <t>Ultrasonic detergent</t>
  </si>
  <si>
    <t>DMT</t>
  </si>
  <si>
    <t>UNIVERSAL Robotic Arm / For HAAS Live Tooling Lathe CNC</t>
  </si>
  <si>
    <t>FANUC Robotic Arm Tending Cell fo HAAS Vertical CNC Mill</t>
  </si>
  <si>
    <t xml:space="preserve">Formlabs Form 3+  3D Pinter </t>
  </si>
  <si>
    <t xml:space="preserve">Rp
</t>
  </si>
  <si>
    <t>Ultimaker 5S 3D Printer</t>
  </si>
  <si>
    <t xml:space="preserve">   No</t>
  </si>
  <si>
    <t>Ultimaker 3S 3D Printer</t>
  </si>
  <si>
    <t>Stratasys Object 30 3D Printer V5</t>
  </si>
  <si>
    <t>SCA 1200 Ht Cleaning Station</t>
  </si>
  <si>
    <t>SCA Waterjet</t>
  </si>
  <si>
    <t>UMC 750 SS Five-Axis CNC</t>
  </si>
  <si>
    <t xml:space="preserve">CMM - Manager Software </t>
  </si>
  <si>
    <t>Software - CTE program success/Increase core competencies/Expand Career Exploration and Development/Increase student success rates</t>
  </si>
  <si>
    <t>Mastercam annual update</t>
  </si>
  <si>
    <t>Annual</t>
  </si>
  <si>
    <t xml:space="preserve">NIMS National Certification annual </t>
  </si>
  <si>
    <t>Vericut Simulation annual update</t>
  </si>
  <si>
    <t>SolidWorks CAD annual update</t>
  </si>
  <si>
    <t>NX (both CAD and CAM)  annual update</t>
  </si>
  <si>
    <t>Lanschool.</t>
  </si>
  <si>
    <t>Allows students to share their work. Increases student engagement. Browsers may be locked down.</t>
  </si>
  <si>
    <t>Other</t>
  </si>
  <si>
    <t>SWP contract funded non tenure Faculty position for 3 years.</t>
  </si>
  <si>
    <t>All groups / Skill and Program Integration /Implement Achievement Programs/Develop and Implement Evaluations to increas core compatencies for overall student and CTE success / Lowering equity gap</t>
  </si>
  <si>
    <t>3 Years</t>
  </si>
  <si>
    <t>Develop and offer new AM courses,  cell robotics, Quality Assurance courses/consultant</t>
  </si>
  <si>
    <t>Instructional in class assistance (TEA) CNC / CAD/ Additive Manufacturing</t>
  </si>
  <si>
    <t>All groups / Increase core compatencies and increase skill development resulting in student success. Lowering Eequity gap</t>
  </si>
  <si>
    <t>Professional Development / Conferences</t>
  </si>
  <si>
    <t>Professional develoment, Implement achievement Programs/Develop and Implement Evaluations</t>
  </si>
  <si>
    <t>CIS</t>
  </si>
  <si>
    <t>Critical F2F</t>
  </si>
  <si>
    <t>A second overhead projector/monitor</t>
  </si>
  <si>
    <t>The code would be shown on one screen and this second device would allow students to connect at a distance or allow teachers to project textbook or other resources. This is especially helpful to those students having some form of learning disability.</t>
  </si>
  <si>
    <t>N/A</t>
  </si>
  <si>
    <t>Owl  3</t>
  </si>
  <si>
    <t xml:space="preserve">Support CIS faculty who are already teaching dual modality classes and encourage others to do so to provide as much flexibility as possible to students. </t>
  </si>
  <si>
    <t>New</t>
  </si>
  <si>
    <t>5 years</t>
  </si>
  <si>
    <t xml:space="preserve">Meeting Owl 3 + Meeting HQ Device - Intelligent Hybrid Video Conferencing Bundle </t>
  </si>
  <si>
    <t>Smart boards for the classrooms</t>
  </si>
  <si>
    <t>The would give instructors the ability to capture what is written during class and quickly post to Canvas. Students from underrepresented groups and/or first generation college students often are learning how to learn and having notes posted would be particularly helpful to them.</t>
  </si>
  <si>
    <t>Wireless adapter for each ATC classroom</t>
  </si>
  <si>
    <t>With more and more students choosing to use their own laptops rather than the computers in the classroom it is necessary to find a way for the student to share their work from their laptops with peers and instructor.</t>
  </si>
  <si>
    <t xml:space="preserve">Critical </t>
  </si>
  <si>
    <t>Microphone - https://www.amazon.com/gp/product/B073JLFYX8/ref=as_li_qf_sp_asin_il_tl?ie=UTF8&amp;tag=6158-20&amp;camp=1789&amp;creative=9325&amp;linkCode=as2&amp;creativeASIN=B073JLFYX8&amp;linkId=eee08af281f2c1eac6a8af30da8a4b14</t>
  </si>
  <si>
    <t>With over crowded classrooms and/or those faculty with soft boices a microphone makes it easier for students to hear. Due to more classes than we have rooms for, CIS classes are held throughout day and evening in the back of the lab. In addition we do hold speaker series events in the lab that necessitate micro</t>
  </si>
  <si>
    <t xml:space="preserve">Continue offering CodeLab online tutorial free to all our programming students. </t>
  </si>
  <si>
    <t>Paid through August 31, 2023</t>
  </si>
  <si>
    <t>1 Yr</t>
  </si>
  <si>
    <t>zyBooks provided for each beginning programming student to ensure equity</t>
  </si>
  <si>
    <t>ZyBooks is an engaging interactive resource for students which would supplant the current text. However, it is an ineffective tool unless every student can afford it and has access from the start of class. zyBooks gives positive feedback which is especially important to make students feel "they belong" and they will succeed. In conclusion, this resource request 1) is aimed at the underrepresented groups in CIS, 2) will help to close the gap, and 3) make more students in the underrepresented groups feel that "they can".</t>
  </si>
  <si>
    <t xml:space="preserve"> $                 -  </t>
  </si>
  <si>
    <t xml:space="preserve"> $             -  </t>
  </si>
  <si>
    <t>Amazon Web Services</t>
  </si>
  <si>
    <t>For Cloud Security, Amazon Web Services will be needed. ASW can also be used for web development and other CIS classes.</t>
  </si>
  <si>
    <t>Upgrade of LanSchool</t>
  </si>
  <si>
    <t xml:space="preserve">TechSmith - Camtasia </t>
  </si>
  <si>
    <t> Allows capture and immediate editing of lecture with code development for later viewing by students. Several enhancements list such issues as "flipping" the classroom more and the fact that students need to work on lab assignments during class face-toface time. Having videos there for students to review would speed up lecture time and allow for more one-on-one time during class which is most beneficial to students from underrepresented groups.</t>
  </si>
  <si>
    <t>Subscription</t>
  </si>
  <si>
    <t>Departmental Accounts</t>
  </si>
  <si>
    <t>Chegg and other such accounts so that the instructor can see what assistance students are getting online. When we realize that our students are subscribing to tutoring sites we need a departmental
subscription in order to "see" what are students are seeing. This would help in instructors' efforts to curb cheating by copying solutions posted online. It is disconcerting at best for students who want to learn to see their peers get by with copying work from these sources. International students, in particular, feel cheating diminishes the worth of the classes they are enrolled in at De Anza College. Students from underrepresented groups do not have the resources to pay for subscriptions to these services and so feel at a disadvantage in the class.</t>
  </si>
  <si>
    <t>Peer tutoring in the lab or online figured at 3 perquarter working 16 hours per week for 10 weeks per quarter at 15.00</t>
  </si>
  <si>
    <t>Students are able to receive assistance on debugging code from the CIS students who volunteer as Teaching Assistants. However, when students need to have the underlying concepts explained, then the student paid tutors explain the constructs. This is especially beneficial to the student who is first generation college student and/or has limited resources to pay for tutoring and who does not have relatives/friends in a technology field.  In conclusion, this resource request 1) is aimed at the underrepresented groups in CIS, 2) will help to close the gap, and 3) make more students in the underrepresented groups feel that "they can".</t>
  </si>
  <si>
    <t>Mentor - Currently working to build industry relationships, counsel students, and STEM events. Cost is per quarter.</t>
  </si>
  <si>
    <t>This has led  to developing relationships with big-name Tech companies such as Google. Google chose Google employees for panel discussions at the College's STEM events based on their diversity . This hopefully builds on the “if he/she can, then so can I” concept for our students from underrepresented groups.  Google employees have given special lectures to the CIS students. Google has also graciously made tours of Google Mountain View available. Thus far, we have had three tours of 20 students each. The students involved in the lectures and/or tours learn how cool it is to be a Google employee. They also get insights about the interview process realizing they will need to know coding and design topics they are learning in class to successfully garner the job of their choice;  just having a degree is not enough.  In conclusion, this resource request 1) is aimed at the underrepresented groups in CIS, 2) will help to close the gap, and 3) make more students in the underrepresented groups feel that "they can". Several Google employees shared that they were not hired on their first try. So perseverance is a must.</t>
  </si>
  <si>
    <t>Teaching Assistants</t>
  </si>
  <si>
    <t>CIS volunteer assistants are to get certificates acnowledging help assisting their peers and a special event to celebrate.  These students 1) provide valuable assistance to students from our underrepresented groups 2) which helps to close the gap, and 3) make more students in the underrepresented groups feel that "they can".</t>
  </si>
  <si>
    <t xml:space="preserve">Faculty effort to support De Anza College </t>
  </si>
  <si>
    <t>For the last 3 years De Anza CIS department has hosted De Anza College cybercamps in support of K9-K12 high school students.  In addition to High School students we may be expanding cybercamp to include Community College students.</t>
  </si>
  <si>
    <t>YES, clasroom needed</t>
  </si>
  <si>
    <t>Ongoing</t>
  </si>
  <si>
    <t>Faculty</t>
  </si>
  <si>
    <t>Facuty position</t>
  </si>
  <si>
    <t>Spera Georgiou has resigned as of Fall 2022. Desire is to have full time faculty who can collaborate on all core and introcutory courses so students have a more equitable experience. Part-time faculty cannot be expected to donate their time to lead this collaboration.</t>
  </si>
  <si>
    <t>Replacement</t>
  </si>
  <si>
    <t>Faculty hire for 3 years, non-tenure position</t>
  </si>
  <si>
    <t>In meeting the needs of our underrepresented groups we need to offer courses in more branches of technology. In the last five years our enrollment has grown by 11% but no new full-time faculty to support the increase. 57.9% of our classes are taught by part-time faculty. The average for the College is 49.5%. This 8.4% difference is extra significant when trying to close the equity gap. It is extremely challenging to find part-time CIS faculty that have qualifications and experience to teach computer science classes and who have proved that they will be teaching with equity-minded focus.  In conclusion, this resource request 1) is aimed at the underrepresented groups in CIS so we can offer programs that will lead soon to a living wage job, 2) this request will help to close the gap, and 3) make more students in the underrepresented groups know that they can.</t>
  </si>
  <si>
    <t>Offer one cutting edge, never offered before class</t>
  </si>
  <si>
    <t>Need to support possibly low enrolled class to initiate new program and/or support Google IT certificate. This Google IT certificate was created to provid education to step into a living wage job for those in underrepresented groups.</t>
  </si>
  <si>
    <t>Conference Funds</t>
  </si>
  <si>
    <t>Such areas as Cloud computing, Data Science, and Cybersecurity are constantly changing and conferenc attendance is the best way for faculty to keep up to speed in these areas. Faculty are constantly searching for career pathways that earn a living wage but do not require a Bachelor's degree. Faculty are constantly researching pedagogy best practices to foster engagement and equity-mindedness in their classes.</t>
  </si>
  <si>
    <t xml:space="preserve">Peer Tutors </t>
  </si>
  <si>
    <t xml:space="preserve">1. Underserved student populations
2. No, tutors will help students who need assistance with understanding the concepts
3.Peer-tutoring creates more opportunities for students to  ask questions, and learn. The students  may feel comfortable and open when interacting with a peer and the additional help will allow for greater understanding and help in reducing equity gap as well. 
$12x10hr/Wkx11wks=10,560
</t>
  </si>
  <si>
    <t>CIS Testing Center</t>
  </si>
  <si>
    <t>With the inception of "Finish Faster" list that includes our online classes, we need to be part of the consortium and be able to offer a place for students from other schools to take their computer science tests. AT 203D is set up for this. 3 hours per week starting with 4th week of quarter; starting 2nd week for summer. This is an option to proctoring software that has been shown to place less stress on students from our underrepresented and economically disadvantaged groups.</t>
  </si>
  <si>
    <t>REST</t>
  </si>
  <si>
    <t>Textbooks</t>
  </si>
  <si>
    <t>Purchase textbooks</t>
  </si>
  <si>
    <t>Grow REST program by providing Rockwell book access to students entering into REST program core classes. Will motivate students to complete additional courses to obtain their Real Estate License. With unemployment resulting from COVID, this purchase will help many students quickly start in a real estate career. This request augments the NEW non-credit courses offered started Winter 22 that are approved by the department of Real Estate towards the state salespersons exam. With this grant, courses will be 100% free (tuition &amp; books) to promote student equity such that disadvantaged students can attain high paying real estate jobs for no cost.</t>
  </si>
  <si>
    <t>ACCT</t>
  </si>
  <si>
    <t>American Accounting Association Annual Membership</t>
  </si>
  <si>
    <t>Needed for Most recent information on CPA</t>
  </si>
  <si>
    <t xml:space="preserve">Business </t>
  </si>
  <si>
    <t xml:space="preserve">TechSmith - Camtasia &amp; SnagIt Bundle </t>
  </si>
  <si>
    <t>1. All groups
2. &amp; 3. No.  Videos Helpful in asynchronous and synchronous teaching to assure student engagement, information retention and promote equity. With more courses offered online, having videos on Canvas allows better delivery of content.  Camtasia allows capture and immediate editing of lectures for later viewing by students. Also, we can include interactive features such as quizzes to the videos.  It also does the captioning (a major requirement for accessibility).  This software is also useful when we have face-to-face classes.  Videos explaining points of confusion can be rapidly posted on Canvas so students can view them multiple times.
(yearly $169 for Camtasia *5users; yearly $71.85 for 5 users)</t>
  </si>
  <si>
    <t>Membership in American Management Association</t>
  </si>
  <si>
    <t xml:space="preserve">1. All groups
2.&amp; 3. No.  Connections to real world situations enhance student engagement.  This subscription will equip faculty member to stay abreast  current trends in the industry. 
Additional Info. The American Management Association is one of the largest professional association for management professionals.  Provides faculty with access to live webinars, industry updates, toolkits, and templates, digital access to all academic journals and discounts for conferences.  Also, faculty can connect with a network of practitioners and academics all across the US and worldwide – to stay current and understand opportunities and challenges in this discipline. They have very good training programs that faculty can attend at discounted rates. Faculty will have updated knowledge to share with students. </t>
  </si>
  <si>
    <t>Membership in American Marketing  Association</t>
  </si>
  <si>
    <t>1. All groups
2.&amp; 3. No.  Connections to real world situations enhance student engagement.  This subscription will equip faculty member to stay abreast  current trends in the industry. 
Additional Info The American Marketing Association is one of the largest professional association for marketers.  It has around 30,000 members worldwide, covering every area of marketing.  Provides faculty with access to live webinars, industry updates, toolkits, and templates, digital access to all academic journals and discounts for conferences.  Also, faculty can connect with a network of marketing practitioners and academics all across the US and worldwide – to stay current and understand opportunities and challenges in this discipline.</t>
  </si>
  <si>
    <t>IBIS World Research</t>
  </si>
  <si>
    <t xml:space="preserve">1. All Groups.
2. &amp; 3. No. Students who are writing business plans require credible information. Without it they work on assumptions which do not necessarily help them to start a real entrepreneurial venture. Very useful for our business, marketing and entrepreneurship courses.   IBISWorld gives a broad overview of the targeted industry, its product and market segmentation, cost structure benchmarks, competitive dynamics, supply chain map, the regulatory environment, macroeconomic drivers, and much more. Our faculty and students will be able to access this data and use it in understanding market demand, feasibility of  business idea. </t>
  </si>
  <si>
    <t>Statista.com</t>
  </si>
  <si>
    <r>
      <t xml:space="preserve">1.All groups.
2.&amp;3. No. Keeping the cost of textbooks low.  Statista provides insights and facts across 170 industries and covers 150+ countries. Access to good quality data will help faculty stay up to date on industry trends and stay current on the subject matter. Most faculty are now offering low cost or zero cost classes so they have to prepare class materials to supplement the free OER materials they are using.  Having a subscription to this data platform will provide them a free access to useful reports such as brands and company reports, industry reports, digital and trend reports, consumer reports, politics and society reports. </t>
    </r>
    <r>
      <rPr>
        <b/>
        <i/>
        <sz val="9"/>
        <color rgb="FF000000"/>
        <rFont val="Times New Roman"/>
        <family val="1"/>
      </rPr>
      <t>Being able to stay current and have access to reliable industry and consumer data will help them in teach effectively.</t>
    </r>
    <r>
      <rPr>
        <sz val="9"/>
        <color rgb="FF000000"/>
        <rFont val="Times New Roman"/>
        <family val="1"/>
      </rPr>
      <t xml:space="preserve"> Also, students will benefit by having access.  They have to do  research for their projects and to prepare more realistic business plans. Students too will have access to the latest trends and archives.  $700/month *12 = $8400</t>
    </r>
  </si>
  <si>
    <t>Subscription to Harvard Business Review</t>
  </si>
  <si>
    <t xml:space="preserve">1. All groups
2. &amp; 3. No. It is important for faculty to improve and deepen their content knowledge and stay relevant. Harvard Business Review provides updates in the area of strategy, innovation and leadership.  The articles published cover real case-studies and insights from some of the world's best business and management experts. ($10/month if billed annually else $12) 10*12= $120/month *6 for digital access </t>
  </si>
  <si>
    <t>Canva Pro</t>
  </si>
  <si>
    <t xml:space="preserve">
1. All groups
2. &amp; 3. No. Build engagement with all types of learners - visual and auditory learners. To create PowerPoints, infographics, worksheets, flyers, graphs and charts.  Faculty using OER textbooks have to create their own PowerPoints and teaching materials. Having access to creative decks and templates will be very useful. Canva tools can help increase creativity and help engage with students better.  ($119.99/year for 5 licenses)</t>
  </si>
  <si>
    <t>Faculty Position</t>
  </si>
  <si>
    <t>This is a request for a contract funded full-time, non-tenured faculty. It is preferred to be a tenured faculty positions, but since this is not possible, we request the funding through SWP. The Business Department is essential to meeting student degree requirements in multiple majors, including Business Administration, Management, Marketing Management, and Entrepreneurship. Please see attached.</t>
  </si>
  <si>
    <t>Business</t>
  </si>
  <si>
    <t xml:space="preserve">Tutors will students n This is especially beneficial to the student who is first-generation college student and/or has limited resources to pay for tutoring and who </t>
  </si>
  <si>
    <r>
      <t xml:space="preserve">RESOURCE REQUEST LIST 2022-23   </t>
    </r>
    <r>
      <rPr>
        <b/>
        <u/>
        <sz val="9"/>
        <color indexed="8"/>
        <rFont val="Times New Roman"/>
        <family val="1"/>
      </rPr>
      <t>Department/Division:  Intercultural and International Studies Division   Name of Point of Contact:</t>
    </r>
    <r>
      <rPr>
        <b/>
        <sz val="9"/>
        <color indexed="8"/>
        <rFont val="Times New Roman"/>
        <family val="1"/>
      </rPr>
      <t xml:space="preserve"> </t>
    </r>
    <r>
      <rPr>
        <sz val="9"/>
        <color indexed="8"/>
        <rFont val="Times New Roman"/>
        <family val="1"/>
      </rPr>
      <t>Debbie Lee</t>
    </r>
  </si>
  <si>
    <t>Spanish</t>
  </si>
  <si>
    <t>Microphones</t>
  </si>
  <si>
    <t>The faculty sometimes lose their voice or get laryngitis. Microphones help prevent instructors from straining their vocal cords to be heard. In a language class, it is a must that students hear the language spoken.</t>
  </si>
  <si>
    <t>N and Rp</t>
  </si>
  <si>
    <t>5 - 10 years</t>
  </si>
  <si>
    <t>approximately $300</t>
  </si>
  <si>
    <t>~$25</t>
  </si>
  <si>
    <t>approx $350 - 360</t>
  </si>
  <si>
    <t>World Languages</t>
  </si>
  <si>
    <t>desirable</t>
  </si>
  <si>
    <t>Software licenses for apps to help learn world languages</t>
  </si>
  <si>
    <t>The software is used for students to learn languages through games and videos and quizzes.</t>
  </si>
  <si>
    <t>no</t>
  </si>
  <si>
    <t>approx $100/instructor</t>
  </si>
  <si>
    <t>Mandarin Translation/Interpretation</t>
  </si>
  <si>
    <t>critical</t>
  </si>
  <si>
    <t>Marketing/Outreach</t>
  </si>
  <si>
    <t>Advertise the classes.</t>
  </si>
  <si>
    <t>We need to get the word out about these classes. The program is relatively new.</t>
  </si>
  <si>
    <t>$500/ad</t>
  </si>
  <si>
    <t>n/a</t>
  </si>
  <si>
    <t>Guest Speakers</t>
  </si>
  <si>
    <t>Professional translator/interpreter speaking in classes and giving workshops.</t>
  </si>
  <si>
    <t>Guest speakers who are professional translators/interpreters can help students understand what the job and various different interpretation specialties entail.</t>
  </si>
  <si>
    <t>$500/speaker</t>
  </si>
  <si>
    <t>Conferences</t>
  </si>
  <si>
    <t xml:space="preserve">Professional conferences </t>
  </si>
  <si>
    <t xml:space="preserve">Keep updated in the discipline and job market. </t>
  </si>
  <si>
    <t>$2000/conference</t>
  </si>
  <si>
    <t>Membership to professional organizations</t>
  </si>
  <si>
    <t>Memberships allow us to advertise and learn about internships for students.</t>
  </si>
  <si>
    <t>Contacts in the professional field.</t>
  </si>
  <si>
    <t>Software licenses for interpretation/translation program</t>
  </si>
  <si>
    <t>The software is Canvas integrable and helps faculty with assessing interpretation methods.</t>
  </si>
  <si>
    <t>Yes -- just needs Office of Online Learning to approve the licenses in Canvas</t>
  </si>
  <si>
    <t>approx $70/license</t>
  </si>
  <si>
    <r>
      <t xml:space="preserve">RESOURCE REQUEST LIST 2020-21   </t>
    </r>
    <r>
      <rPr>
        <b/>
        <u/>
        <sz val="11"/>
        <color indexed="8"/>
        <rFont val="Times New Roman"/>
        <family val="1"/>
      </rPr>
      <t xml:space="preserve">Department/Division:      </t>
    </r>
    <r>
      <rPr>
        <b/>
        <sz val="11"/>
        <color indexed="8"/>
        <rFont val="Times New Roman"/>
        <family val="1"/>
      </rPr>
      <t>Auto Tech___________</t>
    </r>
    <r>
      <rPr>
        <b/>
        <u/>
        <sz val="11"/>
        <color indexed="8"/>
        <rFont val="Times New Roman"/>
        <family val="1"/>
      </rPr>
      <t xml:space="preserve">    Name of Point of Contact:</t>
    </r>
    <r>
      <rPr>
        <b/>
        <sz val="11"/>
        <color indexed="8"/>
        <rFont val="Times New Roman"/>
        <family val="1"/>
      </rPr>
      <t xml:space="preserve"> </t>
    </r>
    <r>
      <rPr>
        <sz val="11"/>
        <color indexed="8"/>
        <rFont val="Times New Roman"/>
        <family val="1"/>
      </rPr>
      <t>___Dave Capitolo_________</t>
    </r>
  </si>
  <si>
    <r>
      <rPr>
        <b/>
        <u/>
        <sz val="11"/>
        <color indexed="8"/>
        <rFont val="Times New Roman"/>
        <family val="1"/>
      </rPr>
      <t>I</t>
    </r>
    <r>
      <rPr>
        <b/>
        <sz val="11"/>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11"/>
        <color indexed="8"/>
        <rFont val="Times New Roman"/>
        <family val="1"/>
      </rPr>
      <t>must</t>
    </r>
    <r>
      <rPr>
        <b/>
        <sz val="11"/>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11"/>
        <color indexed="10"/>
        <rFont val="Times New Roman"/>
        <family val="1"/>
      </rPr>
      <t xml:space="preserve">
</t>
    </r>
    <r>
      <rPr>
        <b/>
        <sz val="11"/>
        <color indexed="8"/>
        <rFont val="Times New Roman"/>
        <family val="1"/>
      </rPr>
      <t xml:space="preserve">Priorities: </t>
    </r>
    <r>
      <rPr>
        <b/>
        <sz val="11"/>
        <color indexed="10"/>
        <rFont val="Times New Roman"/>
        <family val="1"/>
      </rPr>
      <t>Critical:</t>
    </r>
    <r>
      <rPr>
        <b/>
        <sz val="11"/>
        <color indexed="8"/>
        <rFont val="Times New Roman"/>
        <family val="1"/>
      </rPr>
      <t xml:space="preserve"> Courses and/or program cannot run without it; </t>
    </r>
    <r>
      <rPr>
        <b/>
        <sz val="11"/>
        <color indexed="10"/>
        <rFont val="Times New Roman"/>
        <family val="1"/>
      </rPr>
      <t>Needed</t>
    </r>
    <r>
      <rPr>
        <b/>
        <sz val="11"/>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11"/>
        <color indexed="10"/>
        <rFont val="Times New Roman"/>
        <family val="1"/>
      </rPr>
      <t>Desirable:</t>
    </r>
    <r>
      <rPr>
        <b/>
        <sz val="11"/>
        <color indexed="8"/>
        <rFont val="Times New Roman"/>
        <family val="1"/>
      </rPr>
      <t xml:space="preserve"> Requested as part of program growth or innovation </t>
    </r>
    <r>
      <rPr>
        <b/>
        <u/>
        <sz val="11"/>
        <color indexed="8"/>
        <rFont val="Times New Roman"/>
        <family val="1"/>
      </rPr>
      <t xml:space="preserve">
</t>
    </r>
    <r>
      <rPr>
        <sz val="11"/>
        <color indexed="8"/>
        <rFont val="Times New Roman"/>
        <family val="1"/>
      </rPr>
      <t xml:space="preserve">
</t>
    </r>
  </si>
  <si>
    <r>
      <t xml:space="preserve">Category:
</t>
    </r>
    <r>
      <rPr>
        <sz val="11"/>
        <rFont val="Times New Roman"/>
        <family val="1"/>
      </rPr>
      <t>Equipment,
Facility, or
Other</t>
    </r>
  </si>
  <si>
    <t>Tax
9.125%</t>
  </si>
  <si>
    <t>CTE</t>
  </si>
  <si>
    <t>On Going / Critical</t>
  </si>
  <si>
    <t>Classified Support</t>
  </si>
  <si>
    <t>CTE Admin, Curriculum Support, Non credit, Concurrent, Adult Ed and Dual enrollment supports</t>
  </si>
  <si>
    <t>N/RP</t>
  </si>
  <si>
    <t xml:space="preserve">    Current approved Salary encumbered</t>
  </si>
  <si>
    <t>Administratie Support</t>
  </si>
  <si>
    <t>CTE Dean and Nursing Manager</t>
  </si>
  <si>
    <t>Faculty Counseling and Nursing</t>
  </si>
  <si>
    <t>Nursing clinical faculty support and CTE Counseling</t>
  </si>
  <si>
    <t>Software/Subscription</t>
  </si>
  <si>
    <t>Handshake Software</t>
  </si>
  <si>
    <t>Annual Renewal for employment connection application for job fair, career and internship development</t>
  </si>
  <si>
    <t>Emergency Fund</t>
  </si>
  <si>
    <t>Needed to cover any unexpected payments or maintenance in CTE departments</t>
  </si>
  <si>
    <t>Staff</t>
  </si>
  <si>
    <t>Coordinator for Career Center - Program Coordinator II (C-52) 12 months</t>
  </si>
  <si>
    <t>To manage the career center, internship, workshops, CTE tours and workforce development workshops</t>
  </si>
  <si>
    <t>CTE Outreach and Marketing Materials</t>
  </si>
  <si>
    <t>CTE marketing materials to advertise the college programs and student appreciation materials</t>
  </si>
  <si>
    <t>CTE Coference and Tours</t>
  </si>
  <si>
    <t>Expenses cover high school, adult or special population tours, transportaion, food, etc</t>
  </si>
  <si>
    <t>Conference and Training</t>
  </si>
  <si>
    <t>Attend coferences and training to learn and implement new initiatives</t>
  </si>
  <si>
    <t>New CTE Initiatives</t>
  </si>
  <si>
    <t>CTE program initiative expenses to meet local, state and federal guidelines</t>
  </si>
  <si>
    <t>Software/subscription</t>
  </si>
  <si>
    <t>CATEMA</t>
  </si>
  <si>
    <t>Software program used to main accurate records of students who pursue CTE "Credit by Exam" options. It is also a system to award, document, and track "Credit by Exam." (First year cost would be $2,300 (1800+500 set up fee and 2 hour orientaion for admin), plus any desired webinar training. Each subsequent year cost would be $1,800. )</t>
  </si>
  <si>
    <t>Miroir HD Pro Projector- M220</t>
  </si>
  <si>
    <t xml:space="preserve">Projector to conduct outreach presentations in the community </t>
  </si>
  <si>
    <t>Laptop - Apple 16 Macbook Pro with accessories</t>
  </si>
  <si>
    <t>Department laptop resource for outreach activities and student support assistance</t>
  </si>
  <si>
    <t>CATEMA User Training</t>
  </si>
  <si>
    <t>2 Hour CATEMA user training</t>
  </si>
  <si>
    <t>Materials and Supplies</t>
  </si>
  <si>
    <t>Materials and supplies for CTE Office</t>
  </si>
  <si>
    <t>Total</t>
  </si>
  <si>
    <t xml:space="preserve">  </t>
  </si>
  <si>
    <t>Total Requests</t>
  </si>
  <si>
    <t>Student tutors assists journalism students succeed in courses, learn software and equipment to help them succeed.</t>
  </si>
  <si>
    <t>Student Tutor</t>
  </si>
  <si>
    <t>Journalism</t>
  </si>
  <si>
    <t xml:space="preserve">Faculty need continual training in media production technology </t>
  </si>
  <si>
    <t>Faculty development</t>
  </si>
  <si>
    <t>TBA</t>
  </si>
  <si>
    <t>Journalism offers equipment for students to borrow to enhance their media production.</t>
  </si>
  <si>
    <t>Replacement of camera peripherls, small items e.g. lens caps, SD cards, camera bags etc.</t>
  </si>
  <si>
    <t>Tripods</t>
  </si>
  <si>
    <t xml:space="preserve">Photo equipment - cameras </t>
  </si>
  <si>
    <r>
      <t xml:space="preserve">RESOURCE REQUEST LIST 2022-23   </t>
    </r>
    <r>
      <rPr>
        <b/>
        <u/>
        <sz val="9"/>
        <color indexed="8"/>
        <rFont val="Times New Roman"/>
        <family val="1"/>
      </rPr>
      <t xml:space="preserve">Department/Division:         </t>
    </r>
    <r>
      <rPr>
        <b/>
        <sz val="9"/>
        <color indexed="8"/>
        <rFont val="Times New Roman"/>
        <family val="1"/>
      </rPr>
      <t xml:space="preserve">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____________</t>
    </r>
  </si>
  <si>
    <t>REVISED AS OF JAN 2023.</t>
  </si>
  <si>
    <t>NO</t>
  </si>
  <si>
    <t>ABA requires a program director who is familiar with the utlilizaiton of paralegals and the profession</t>
  </si>
  <si>
    <t xml:space="preserve">Additional Pay to serve as Interim Program Director </t>
  </si>
  <si>
    <t>Priority &amp; Critical</t>
  </si>
  <si>
    <t>PARA</t>
  </si>
  <si>
    <t>ALL YEAR 2022-2023</t>
  </si>
  <si>
    <t xml:space="preserve">The Peer Assisted Learning program was developed with different academic support models in mind such as the Embedded Tutor, Supplemental Instruction model, and the peer tutor caseload. It is currently being piloted in the Social Science and Humanities Division. Based on research, courses that have low success rates are selected to ensure students have all the tools necessary to be successful and to close the equity gaps.  The peer tutoring model was selected to address this concern.   Anecdotally, students have reported that they respond better to their peers versus their instructors. In the past, the SSH department has implemented similar programs in various ways that have shown to be successful. </t>
  </si>
  <si>
    <t>Student Tutor for Peer Assisted Leader Program</t>
  </si>
  <si>
    <t>Supplemental Instructor (Student Tutors)</t>
  </si>
  <si>
    <t>HUM</t>
  </si>
  <si>
    <t>HIS</t>
  </si>
  <si>
    <t>PSYC</t>
  </si>
  <si>
    <t>ECO</t>
  </si>
  <si>
    <t>POL</t>
  </si>
  <si>
    <t>ANTH</t>
  </si>
  <si>
    <t>10YRS</t>
  </si>
  <si>
    <t>Same justification as listed for drone funding. Two reqeusted to have 2 instructors for safety and training enhancement in ADMJ 61 (Criminal Investigation) and 84 (Forensic Science) courses.</t>
  </si>
  <si>
    <t>Training for FAA Drone Pilot License</t>
  </si>
  <si>
    <t>ADMJ</t>
  </si>
  <si>
    <t>WI 22, SP22,SU22</t>
  </si>
  <si>
    <t>REPL</t>
  </si>
  <si>
    <t xml:space="preserve">Because we are online, this will allow students to pick up care packages via drive thru in order to have supplies to be used for courses which requires these items. Majority of CDE students using these supplies will save hundreds of dollars during the pandemic. </t>
  </si>
  <si>
    <t>Materials to provide students during each quarter. Children's books/toys/and resources needed for various CDE classes.</t>
  </si>
  <si>
    <t>ClassroomMaterials</t>
  </si>
  <si>
    <t>CD&amp;E</t>
  </si>
  <si>
    <t>FA21, WI 22, SP 22, SU 22</t>
  </si>
  <si>
    <t>ABA certification requires legal research classes, which are offered through only two courses. Seat numbers are limited. Increasing the seats will allow us to assign and use Westlaw in other classes and provide more opportunity for training with skills used and needed on the job -- the amount listed represents the increase over the current allotment</t>
  </si>
  <si>
    <t>Westlaw Passwords</t>
  </si>
  <si>
    <t>5 YRS</t>
  </si>
  <si>
    <t>YES</t>
  </si>
  <si>
    <t>Used for Humanities Students and other Faculty to showcase work and other projects</t>
  </si>
  <si>
    <t>Students and Faculty Moving Wall for Project Displays</t>
  </si>
  <si>
    <t>Used for class assignments by students enrolled in Psychology 2, who don't have their own laptop. In the past, it has been determined that a number of students does not own their own laptop, we would like to replace these old laptops in order to provide effective teaching and learning in the classroom/labs.</t>
  </si>
  <si>
    <t xml:space="preserve">Refresh of PSYC Lab Laptops </t>
  </si>
  <si>
    <t>Highly Critical</t>
  </si>
  <si>
    <t>Crime-Lite Full Spectral Light Source to used in the location of crime scene bodily fluid evidence (blood, salvia, etc).  This will add value to students learning since it will be used for simulation purposes.</t>
  </si>
  <si>
    <t>Dell 55 Interactive Touch Monitor-C5518QT</t>
  </si>
  <si>
    <t>ALL QUARTERS</t>
  </si>
  <si>
    <t>FTE</t>
  </si>
  <si>
    <t>Tenure</t>
  </si>
  <si>
    <t>10 of our languages do not have FT faculty. The world language coordinator is needed to coordinate curriculum and program needs/review for all the languages</t>
  </si>
  <si>
    <t>2/3 World Lang instructor (Japanese or Korean) + 1/3 World Lang Coordinator</t>
  </si>
  <si>
    <t>World Language Coordinator</t>
  </si>
  <si>
    <t>CETH/NAIS instructor</t>
  </si>
  <si>
    <t>CETH/NAIS</t>
  </si>
  <si>
    <t>Total BHES req</t>
  </si>
  <si>
    <t>New tems</t>
  </si>
  <si>
    <t xml:space="preserve">The current sign has been  rusted  with small fonts does not help with marketing the department or help  students , visitors to find the department , faculty and staff . Propper signage  of the name of the building would help in marketing us properly. Make us considerate when we provide any one with direction to our department </t>
  </si>
  <si>
    <t xml:space="preserve">Proper placement of the Nursing Department name  over the roof of the building all 4 sides. There is a need to market the department in a a way to attaract De Anza students , the community we serve. A better sign will minimize the complaints and the frustrations of People getting wehn having difficulties trying to find the department . </t>
  </si>
  <si>
    <t xml:space="preserve">Facility  </t>
  </si>
  <si>
    <t>Critical  1</t>
  </si>
  <si>
    <t xml:space="preserve">Nursing </t>
  </si>
  <si>
    <t>10 y</t>
  </si>
  <si>
    <t xml:space="preserve">New Items </t>
  </si>
  <si>
    <t>The Nursing Simulation Laboratory is designed to provide students with hands-on clinical experiences. The clinical opportunities in simulated specialty units include Pediatric lab, Critical care lab, Maternity/Newborn lab, Health assessment/Skills labs
Each unit integrates various fidelities of human patient simulators, in which students encounter patient situations with symptoms, diseases, and conditions common in a traditional clinical setting. Simulating “real-life” situations in the simulation lab, provides students with opportunities to enhance development of nursing skills, teamwork, interdisciplinary communication, critical thinking, and clinical judgment skills. Students experiences in the lab include utilization of some of the most current technology in healthcare settings 
The nursing simulation lab also has control rooms that are adjacent to most specialty units. These rooms are for observation and recording of clinical simulations, which are utilized for reflection and debriefing of simulations. There is also a student lounge and study area, where students have access to a library of nursing textbooks, reference materials, wireless internet,To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</si>
  <si>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Update and reconstruct the Simulation lab </t>
  </si>
  <si>
    <t xml:space="preserve">Other   </t>
  </si>
  <si>
    <t xml:space="preserve">Critical  </t>
  </si>
  <si>
    <t xml:space="preserve">Nursing  </t>
  </si>
  <si>
    <t xml:space="preserve">5 years </t>
  </si>
  <si>
    <t xml:space="preserve">New Item </t>
  </si>
  <si>
    <t xml:space="preserve"> to create an environment our students can thrive in. The lounge would provide the students a place for studying or just to kick back and relax amongst peers. providing each student the opportunity to learn and succeed in a comfortable and inviting atmosphere. Accessible during campus office hours. students benefit as they prepare to become a healthcare professional in today’s competitive job market.</t>
  </si>
  <si>
    <t xml:space="preserve">Nursing &amp; Allied Health Students Lounge </t>
  </si>
  <si>
    <t xml:space="preserve">Facility and Eqipments </t>
  </si>
  <si>
    <t xml:space="preserve">Needed </t>
  </si>
  <si>
    <t>NA</t>
  </si>
  <si>
    <t xml:space="preserve">new item </t>
  </si>
  <si>
    <t>Provide a space to conduct faculty meetings , connect to support building a stronger  team and improve the morals, Will need to move the front wall  of S82 C forward to expand the room , then place purchace conferece room table , 10 chairs , smart monitor, computer, a sink , book shelve</t>
  </si>
  <si>
    <t xml:space="preserve">Nursing Faculty Conference room </t>
  </si>
  <si>
    <t>New Item</t>
  </si>
  <si>
    <t xml:space="preserve">continuously and dynamically presenting current announcements, information students and faculty related,  presenting  Pictures of Graduated Cohorts /classes </t>
  </si>
  <si>
    <t xml:space="preserve">Large Screen display " Nursing Department Monitor to post either in the  Skills lab or and outside the front of the nursing Department  </t>
  </si>
  <si>
    <t xml:space="preserve">Equipment </t>
  </si>
  <si>
    <t>10+</t>
  </si>
  <si>
    <t>Improve Student Success Rates; Meet CCCCO CTE Key Performance Indicators</t>
  </si>
  <si>
    <t>Floor electrical outlet repair in Kirsch 239 (reliable power must be provided at each desk in KC239 for lab equipment)</t>
  </si>
  <si>
    <t>Necessary</t>
  </si>
  <si>
    <t>ES/ESCI- EMBS Program</t>
  </si>
  <si>
    <t>current classroom has 3 sinks, they need to be updated to include foot pedals for handwashing</t>
  </si>
  <si>
    <t>Sink upgrades</t>
  </si>
  <si>
    <t>others</t>
  </si>
  <si>
    <t>MLT</t>
  </si>
  <si>
    <t>Redesign space to accommodate expansion of MLT program to include clinical practica opportunities within the student lab</t>
  </si>
  <si>
    <t xml:space="preserve">Redesign space </t>
  </si>
  <si>
    <t>other</t>
  </si>
  <si>
    <t>HTEC</t>
  </si>
  <si>
    <t>Our traget students include African Americans, Latinx, Filipinx, Pacific Islanders. The funding will only decrease  disparities and create equity..We need to remove the systemic barriers to success and completion of all students regardless of income, first generation status, and race. Individual advise, outreach, and degree planning. Allocation will help to offer tutoring sessions.Funds in the B budget is not enough since the prices have gone up for the supplies, due to the raw material prices rising to makes the supplies. Hands on laboratory experience is absolutely essential for all student to succeeed but the experience is especially invaluable to our underserved students who may come from background in which they were not exposed to these methodologies</t>
  </si>
  <si>
    <t>Labor for Kirsch Electrical Obvius Energy Data Acquisition Device Install &amp; Modbus Wiring to existing electrical meters</t>
  </si>
  <si>
    <t>Programming Initial Jace/8000 Facilities Graphical User Interface by Contractor</t>
  </si>
  <si>
    <t>ETS</t>
  </si>
  <si>
    <t>Trend TL1 Sequence Programming by ETS or Contractor</t>
  </si>
  <si>
    <t>Student/Faculty Consulting Time with TL1 Installation/Programming Contractor</t>
  </si>
  <si>
    <t>In support of CTE program classes in ERM&amp;P2 which serve a diverse set of students.</t>
  </si>
  <si>
    <t>Professional Development (training &amp; conferences)</t>
  </si>
  <si>
    <t>Other (Prof Dev)</t>
  </si>
  <si>
    <t>ERM&amp;P2 Program</t>
  </si>
  <si>
    <t>Additional pay for Part time faculty / student activities</t>
  </si>
  <si>
    <t>Other-Additional Resource</t>
  </si>
  <si>
    <t xml:space="preserve">Additional pay for Part time faculty to transition program responsibilities </t>
  </si>
  <si>
    <t>2years</t>
  </si>
  <si>
    <t>Research has identified Many challenges that are associated with requiring faculty members to learn simulation pedagogy. Ensuring they know how to implement clinical simulations across different courses and how to debrief using best practices may be difficult to operationalize but is critical for a successful outcome. The Board Of Registered Nursing policies determining the amount of clinical time that can be replaced by simulation. Ensuring that faculty members who use simulation receive education and skills in simulation pedagogy and debriefing is essential for successful student outcomes.</t>
  </si>
  <si>
    <t xml:space="preserve">Nursing team " Faculty, Director and Staff )  Professional Development -Simulation Training </t>
  </si>
  <si>
    <t>The funds will be utilized as:
- Salary, benefits, travel expenses and supplies needed to fulfill the CSPC position to provide the support needed for the health programs students</t>
  </si>
  <si>
    <t xml:space="preserve">The Clinical Site Placement Coordinator  provides a consistent contact person within the Nursing Department to manage student placement through collaboration with colleges, universities, hospitals, clinics, community placements and long term care/skilled nursing facilities. 
</t>
  </si>
  <si>
    <t xml:space="preserve">Clinical Site Placement Coordinator </t>
  </si>
  <si>
    <t xml:space="preserve">Critical 1 </t>
  </si>
  <si>
    <t>microscopes need to be professionally service and cleaned each quarter</t>
  </si>
  <si>
    <t>microscope cleaning</t>
  </si>
  <si>
    <t xml:space="preserve">MLT </t>
  </si>
  <si>
    <t>Help students navigate certificate and processing and screening applications and checking inventory/equipment maintenance and ordering supplies</t>
  </si>
  <si>
    <t>Office Assistant</t>
  </si>
  <si>
    <t>Peers to provide in class tutoring and mentoring to struggling students, thus increasing student success and decreasing withdrawal rate.</t>
  </si>
  <si>
    <t>TEA or AHS</t>
  </si>
  <si>
    <t>Staff needed to provide skills lab to students that need additional hands-on mentoring and lab technique reinforcement. For students that need hours for blood bank training rotation</t>
  </si>
  <si>
    <t>Skills Lab Tutoring</t>
  </si>
  <si>
    <t>Staff need to revise current in-person curriculum to convert to online for students and update lab manual</t>
  </si>
  <si>
    <t>Faculty, additional pay</t>
  </si>
  <si>
    <t>other (professional development)</t>
  </si>
  <si>
    <t>This conference is unique in that it is only for clinical laboratory educators for the purpose of professional development.</t>
  </si>
  <si>
    <t>CLEC Conference</t>
  </si>
  <si>
    <t>Certified Phlebotomy Tech $50 for 6 hour for 12 weeks X 3 quarter</t>
  </si>
  <si>
    <t>5+</t>
  </si>
  <si>
    <t>Various supplies for lab classes- racks for equipment, wiring, plugs, electrical equipment, power strips, meters, temp guns, resistors, controls, sensors, lab tools</t>
  </si>
  <si>
    <t>Equip</t>
  </si>
  <si>
    <t>ETS Labor and Materials for providing instructor access to Kirsch Center EMS system in Kirsch 239 and lobby plasma display</t>
  </si>
  <si>
    <t>2+</t>
  </si>
  <si>
    <t>WIFI Upgrade in Kirsch 239 to provide higher bandwidth for lab equipment</t>
  </si>
  <si>
    <t>Niagara 4 Supervisor License w/ 3 year sw support</t>
  </si>
  <si>
    <t>Tridium Jace/8000 (open licensing) with Modbus/TCP Gateway Driver and 10 Niagara Network Connections (S-N4-10-3YR) for student controls programming</t>
  </si>
  <si>
    <t>Improve Student Success Rates; Meet CCCCO CTE  Key Performance Indicators</t>
  </si>
  <si>
    <t>Trend (Jace8000) TL1 w/Novar Drivers (Open Licensing) to replace existing Novar Lingo Executive Controllers</t>
  </si>
  <si>
    <t>ES/ESCI- EMBS program</t>
  </si>
  <si>
    <t>RP</t>
  </si>
  <si>
    <r>
      <t xml:space="preserve">Almost all of our exams are computerized in addition to our clinical resources . Providing updated computers will facilitiate students success  considering some students are struggling financily . The computer lab will provide access to required texts e books, resources. additionally, </t>
    </r>
    <r>
      <rPr>
        <b/>
        <sz val="12"/>
        <color indexed="8"/>
        <rFont val="Times New Roman"/>
        <family val="1"/>
      </rPr>
      <t>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r>
  </si>
  <si>
    <t xml:space="preserve">Nursing Student Computer Lab updates </t>
  </si>
  <si>
    <t xml:space="preserve">NA </t>
  </si>
  <si>
    <t>Research has showed that  Experienced
faculty are often replaced with clinicians who are expert in clinical
practice, but lack the knowledge, skills, and attitudes needed to
teach and evaluate students. As a result, the need for professional development and structured mentoring for nurse educators continues to increase.Utilizing evidence-based  and new learning /teaching strategies may assist new
faculty who are transitioning from the clinical to the academic environment and may assist experienced faculty in updating understanding of best practices in nursing education.</t>
  </si>
  <si>
    <t xml:space="preserve">Nursing  Professional Development " Conferences, workshops,  Nursing Journals subscriptions and Nursing association memberships , training, certifications "  </t>
  </si>
  <si>
    <t>30'000</t>
  </si>
  <si>
    <t>Costs Includes Fees for Candidacy Fees, Initial accreditations fees , Site Visit fees, Periodic fees , Consultations Fees, Advisory Review Fees</t>
  </si>
  <si>
    <r>
      <t xml:space="preserve"> ACEN accreditation process gives a nursing  program :the opportunity to validate that it is committed to providing a quality nursing program . </t>
    </r>
    <r>
      <rPr>
        <b/>
        <sz val="12"/>
        <color indexed="8"/>
        <rFont val="Times New Roman"/>
        <family val="1"/>
      </rPr>
      <t>Students with socio economic challlenges will be helped with greater access and support  from federal and state agencies, and foundations</t>
    </r>
    <r>
      <rPr>
        <sz val="12"/>
        <color indexed="8"/>
        <rFont val="Times New Roman"/>
        <family val="1"/>
      </rPr>
      <t xml:space="preserve">.ACEN accreditation  Is required by many nursing programs for admission to the graduate level, as well as by some state regulatory agencies for licensures, and many employers.
</t>
    </r>
  </si>
  <si>
    <t xml:space="preserve">Acreditation Commission of Education In Nursing " ACEN"                                </t>
  </si>
  <si>
    <t>develop clinical skills replicating clinical site experience</t>
  </si>
  <si>
    <t>equipment</t>
  </si>
  <si>
    <t>Critical   1</t>
  </si>
  <si>
    <t>COADN will help:To improve the quality of associate degree nursing education throughout the state and to promote safety and quality of patient care through:
Coordinating activities designed to enhance and improve student access, curriculum, career mobility, and employment.
Enhancing communication and networking between various nursing programs at all levels by providing a forum for discussion and sharing of successes, problems, and concerns.
Developing group positions on current issues from sources including consumers, legislatures, student paraprofessionals having a direct impact on associate degree nursing education and to plan appropriate actions related to these positions.
Promoting, encouraging, and providing continuing education and staff development activities for Associate Degree Directors, and Faculty.
Monitoring/disseminating information regarding legislation and appointments to boards, task forces, and similar entities that influence nursing.
Providing for the socialization and orientation process of new directors.</t>
  </si>
  <si>
    <t xml:space="preserve">California Organization of Associate Degree of Nursing "COADN" Annual  membership </t>
  </si>
  <si>
    <t>Supplies needed for students to practice skills in the lab, examples are gauze, tape, needles, syringes, gloves, bandages, iv bags, iv tubing, etc.</t>
  </si>
  <si>
    <t>Various disposable supplies (ex but not limited to gloves, needles, etc).</t>
  </si>
  <si>
    <t xml:space="preserve">Supplies </t>
  </si>
  <si>
    <t>Nursing</t>
  </si>
  <si>
    <t>deveop student skills that are current with industry practice</t>
  </si>
  <si>
    <t>gel electrophoresis</t>
  </si>
  <si>
    <t>Clinical equipments needs to be replaced every 5 years to be functional for student use. Students need hands on lab experience with working instrumentation that is not obsolete and relevant to current clinical labs practice to make students more competitive applicants.</t>
  </si>
  <si>
    <t>5 year replacement</t>
  </si>
  <si>
    <t>used to increase student engagement in the classroom</t>
  </si>
  <si>
    <t>Turning Point equiment and software</t>
  </si>
  <si>
    <t>student skill development in specimen preparation</t>
  </si>
  <si>
    <t>centrifuge</t>
  </si>
  <si>
    <t>For student visual demonstrations of abnormal cellular morphology to meet the new legislation of expanded MLT scope that has now included areas of microscopy.</t>
  </si>
  <si>
    <t>microscopes</t>
  </si>
  <si>
    <t>eqipment</t>
  </si>
  <si>
    <t>Prepared slides for students to take home for additional skills development</t>
  </si>
  <si>
    <t>Educational Slides</t>
  </si>
  <si>
    <t>Student skill development</t>
  </si>
  <si>
    <t>i-STAT POCT analyzer</t>
  </si>
  <si>
    <t>LDX POCT analyzer with printer</t>
  </si>
  <si>
    <t>cell washers</t>
  </si>
  <si>
    <t>Help with instruction so students can clearly hear lectures and see demonstrations that are live or pre-recorded</t>
  </si>
  <si>
    <t xml:space="preserve">Recording equipment: Camera/headset </t>
  </si>
  <si>
    <t>classroom skill development for students</t>
  </si>
  <si>
    <t xml:space="preserve">chemistry analyzer </t>
  </si>
  <si>
    <t>pipettes</t>
  </si>
  <si>
    <t>provide clinical testing aligned with industry standards</t>
  </si>
  <si>
    <t>hospital based glucometers</t>
  </si>
  <si>
    <t>equpment</t>
  </si>
  <si>
    <t>Provide adequate protection for students and instructors during clinical laboratory classes</t>
  </si>
  <si>
    <t>PPE (gloves, lab coats, goggles, masks, dissinfectant wipes, etc)</t>
  </si>
  <si>
    <t xml:space="preserve"> lab material needed for students to perform testing to develop lab skills</t>
  </si>
  <si>
    <t xml:space="preserve">Laboratory supplies, i.e: reagents, media, control material </t>
  </si>
  <si>
    <t xml:space="preserve">clinical laboratory instrumentation must be maintained in order to function properly for student use.  </t>
  </si>
  <si>
    <t>maintenance contracts for instrumentation</t>
  </si>
  <si>
    <t>Pilot program designed to enable the student who has been waiting for clinical placement an opportunity to review and practice required laboratory skills</t>
  </si>
  <si>
    <t>supplies for pilot program review labs</t>
  </si>
  <si>
    <t>yearly</t>
  </si>
  <si>
    <t>Pilot program for health tech: system to track student performance throughout their program experience</t>
  </si>
  <si>
    <t>E Value student tracking system</t>
  </si>
  <si>
    <t>software license</t>
  </si>
  <si>
    <t>Administrative Assistant</t>
  </si>
  <si>
    <t>Professional development for students to learn lab software for sample processing and reporting. Highly encouraged by training sites</t>
  </si>
  <si>
    <t>Schuyler House LIS software, installation and equipment</t>
  </si>
  <si>
    <t>software licenses renewals</t>
  </si>
  <si>
    <t>These software programs are a resource for students to further integrate/practice the skills presented in MLT courses</t>
  </si>
  <si>
    <t>Media Lab: RBC Case studies, WBC case studies, UA Case studies.       Med Training  - multimedia comprehensive online instruction to complement classroom teachings in all MLT courses.</t>
  </si>
  <si>
    <t>Laptop EHR training</t>
  </si>
  <si>
    <t>Texbooks for student training</t>
  </si>
  <si>
    <t>Pediatric Table with scale</t>
  </si>
  <si>
    <t>Blood Pressure Simulator</t>
  </si>
  <si>
    <t>EKG trolley to place the machines on</t>
  </si>
  <si>
    <t xml:space="preserve">HTEC </t>
  </si>
  <si>
    <t>Phlebotomy Supplies needles, syringes, etc</t>
  </si>
  <si>
    <t>PT Faculty Non Instructional Pay for Phlebotomy Renewal</t>
  </si>
  <si>
    <t>Peer tutoring, TEA $30 for 12 hours per 12 weeks X 3 quarters</t>
  </si>
  <si>
    <t xml:space="preserve">Phillips EKG machine </t>
  </si>
  <si>
    <t>Storage units for safe and secure storage of purchased equipment and supplies.</t>
  </si>
  <si>
    <t>&lt;1</t>
  </si>
  <si>
    <t>Misc Lab &amp; Field Supplies &amp; Safety Equipment (gloves, boots, buckets, eyewear, etc)</t>
  </si>
  <si>
    <t>Other (Supplies)</t>
  </si>
  <si>
    <t>Basic educational materials: videos, training aids, reference/technical books, etc</t>
  </si>
  <si>
    <t>Software: dealing with Enviro managemt/ Enviro compliance; environmental impact assessment, enviro Site Assessment and Sustainable /Eco design.</t>
  </si>
  <si>
    <t>Other (Software)</t>
  </si>
  <si>
    <t>Equipment (non-capital; &lt;$1000 each): Air monitoring equipment; greenhouse gas detention units; water quality assessment kits; stormwater sampling equipment; soil sampling &amp; classification kits; radiation, microwave &amp; EMF detectors; mobile/handheld weather stations; HazMat test kits; indoor air quality sampling &amp; assessment equiment.</t>
  </si>
  <si>
    <t>Materials for providing instructor access to Kirsch Center EMS system in Kirsch 239 and lobby plasma display</t>
  </si>
  <si>
    <t>In support of CTE program classes in ERM&amp;P2</t>
  </si>
  <si>
    <t>ES/ESCI ERM&amp;P2 Program</t>
  </si>
  <si>
    <t>needed by all ES/ESCI classes</t>
  </si>
  <si>
    <t>software licenses</t>
  </si>
  <si>
    <t>ESCI/ES</t>
  </si>
  <si>
    <t>needed by EMBS</t>
  </si>
  <si>
    <t>CRITICAL</t>
  </si>
  <si>
    <t xml:space="preserve">Total requests </t>
  </si>
  <si>
    <t xml:space="preserve">Total Price Include the Simulators and all other needed equipments , Shipping , Taxes, Installation and 5 years maintainance plan </t>
  </si>
  <si>
    <t>a pediatric patient simulator that represents a seven-year-old child and offers a wide range of pediatric training scenarios. From assessment to performing essential clinical skills, Nursing Students can develop critical decision-making procedures and learn in a risk-free environment.To foster an environment where similarities and differences are not only embraced and valued, but also celebrated.</t>
  </si>
  <si>
    <t xml:space="preserve">A pediatric Simulator </t>
  </si>
  <si>
    <t>To help improving Nursing Students  education, patient safety, clinical competency and performance
 through simulation-based training. Simulation training helping learners to develop critical thinking skills.when utelizing different colored minikins represents diverse patients popultion. To foster an environment where similarities and differences are not only embraced and valued, but also celebrated. We acknowledge that institutional diversity is the cornerstone for the advancement of knowledge, the delivery of equitable care, and increasing access to care for all. to train a culturally responsible and socially accountable healthcare workforce to meet the ever-evolving needs of the diverse populations we serve.</t>
  </si>
  <si>
    <t xml:space="preserve">3 Minikans with different skin colors </t>
  </si>
  <si>
    <t>10 years</t>
  </si>
  <si>
    <t>Hospital bed</t>
  </si>
  <si>
    <t xml:space="preserve">Total Requests </t>
  </si>
  <si>
    <t xml:space="preserve">
The MLT program serves a diverse group of students, enrollment of African American, and Latinx student has increased while enrollment of Filipinx students has more than tripled. Success rates have also increased in underserved groups over the past 5 years. The MLT program faculty are committed to student success.. They have been successful in working to close the equity gap for student success between targeted and non-­‐targeted student populations through diverse teaching methods and the use of laboratory instrumentation for "hands-­‐on" experience. MLT Information meetings are held at least once per quarter where students interested in getting information about the MLT program can attend for a presentation about the profession, the program and ask any questions they may have. To increase retention and growth of all students, including underrepresented student populations, the MLT faculty utilize a variety of teaching methods including hands on laboratories to expose the students to clinical settings with donated clinical samples, study questions, review and practice skill laboratories, and review sessions. This helps to familiarize students with what they would experience in the clinical setting and make them competitive candidates for externships opportunities in Bay Area clinics and laboratories. Failure to fund these requests would prevent the MLT labs from operating and prevent students from obtaining careers in a quickly growing health field. </t>
  </si>
  <si>
    <t xml:space="preserve">Total Requests 												</t>
  </si>
  <si>
    <t>Injection Dose Demo Trainer</t>
  </si>
  <si>
    <t>Height and Weight Digital Scale</t>
  </si>
  <si>
    <t>PCR Machine</t>
  </si>
  <si>
    <t>Biology</t>
  </si>
  <si>
    <t>Microbiological Incubator</t>
  </si>
  <si>
    <t>Autoclave</t>
  </si>
  <si>
    <t>Media Dispenser</t>
  </si>
  <si>
    <t>Ice Machine</t>
  </si>
  <si>
    <t>Refrigerator</t>
  </si>
  <si>
    <t>Glassware Washer</t>
  </si>
  <si>
    <t>EKG Machine</t>
  </si>
  <si>
    <t>Eye Model</t>
  </si>
  <si>
    <t>Muscular Leg Model</t>
  </si>
  <si>
    <t>Muscular Arm Model</t>
  </si>
  <si>
    <t>Bone Structure Model</t>
  </si>
  <si>
    <t>Microanatomy Bone Structure Model</t>
  </si>
  <si>
    <t>Didactic Flexible Spine Model</t>
  </si>
  <si>
    <t>Prepared Slides</t>
  </si>
  <si>
    <t xml:space="preserve">Taxidermy Spesimens </t>
  </si>
  <si>
    <t xml:space="preserve">Animal Skulls </t>
  </si>
  <si>
    <t xml:space="preserve">Display Animals </t>
  </si>
  <si>
    <t>Insect Collection Set , Plastomount Mounted</t>
  </si>
  <si>
    <t>PTC Perishables Set</t>
  </si>
  <si>
    <t>We have a wide diversity of students who take biology courses.  Many Biology courses use and need this equipment.  Students in these courses and the educational opportunities that this equipment helps to provide would be impacted negatively if this equipment is not available to them.  All groups of students would be affected, but historically underrepresented students and communities would be more likely to be negatively impacted due to the greater likelihood to not have had these resources and “hands-on” experiences in their earlier educational opportunities.  Having this equipment for all students could also positively impact the equity gap between students.</t>
  </si>
  <si>
    <t>PTC Extraction and Amplification Kit</t>
  </si>
  <si>
    <t>RESOURCE REQUEST LIST    Department/Division: Biology   Name of Point of Contact: Anita Muthyala-Kandula</t>
  </si>
  <si>
    <t>Is it a refresh ?</t>
  </si>
  <si>
    <t>SWP - Regional Round 8</t>
  </si>
  <si>
    <t>SWP - Local Round 8</t>
  </si>
  <si>
    <t>7/1/22 - 6/30/2024</t>
  </si>
  <si>
    <t>SWP - Regional Round 7</t>
  </si>
  <si>
    <t>SWP - Local Round 7</t>
  </si>
  <si>
    <t>7/1/21 - 12/31/2023</t>
  </si>
  <si>
    <t>SWP - Regional Round 6 (2021 -22)</t>
  </si>
  <si>
    <t>SWP - Local Round 6 (2021-22)</t>
  </si>
  <si>
    <t>7/1/20 - 6/30/2022</t>
  </si>
  <si>
    <t xml:space="preserve">SWP- Regional - Round 5 </t>
  </si>
  <si>
    <t>SWP- Local - Round 5 (20/21) Yr 5</t>
  </si>
  <si>
    <t>SWP Regional Round 1-4</t>
  </si>
  <si>
    <t>SWP Local Round 1-4</t>
  </si>
  <si>
    <t>7/1/19-12/31/2021</t>
  </si>
  <si>
    <t>SWP - Regional - Round 4</t>
  </si>
  <si>
    <t>SWP - Local - Round 4 (19/20)</t>
  </si>
  <si>
    <t>7/1/18-12/31/2020</t>
  </si>
  <si>
    <t>SWP - Regional - Round 3 (18/19)</t>
  </si>
  <si>
    <t>SWP - Local - Round 3 (18/19)</t>
  </si>
  <si>
    <t>7/1/17-12/31/2019</t>
  </si>
  <si>
    <t>SWP - Regional - Round 2 (17/18)</t>
  </si>
  <si>
    <t>SWP - Local - Round 2 (17/18)</t>
  </si>
  <si>
    <t>7/1/16-12/31/2018</t>
  </si>
  <si>
    <t>SWP - Regional - Round 1 (16/17)</t>
  </si>
  <si>
    <t>SWP - Local - Round 1 (16/17)</t>
  </si>
  <si>
    <t>Balance</t>
  </si>
  <si>
    <t>Expenditure</t>
  </si>
  <si>
    <t>Allocation</t>
  </si>
  <si>
    <t>Expenditure Period</t>
  </si>
  <si>
    <t>Fund Description</t>
  </si>
  <si>
    <t>Fund</t>
  </si>
  <si>
    <t>RJV - Regional Projects</t>
  </si>
  <si>
    <t>Final Report Submitted as of 12/30/2022</t>
  </si>
  <si>
    <t>Final Report Due on 2/15/2024</t>
  </si>
  <si>
    <t>Perkins 2022-2023</t>
  </si>
  <si>
    <t>Perkins 2023-2024</t>
  </si>
  <si>
    <t>7/1/2023 - 6/30/2024</t>
  </si>
  <si>
    <t>7/1/2022 - 6/30/2023</t>
  </si>
  <si>
    <t>7/1/23 - 6/30/2025</t>
  </si>
  <si>
    <t>Final Report Due on 7/15/2023</t>
  </si>
  <si>
    <t>135056 - SWP Local  - Round 6</t>
  </si>
  <si>
    <t>135072- Perkins 2022/2023</t>
  </si>
  <si>
    <t xml:space="preserve">End Date : </t>
  </si>
  <si>
    <t>Department</t>
  </si>
  <si>
    <t>Org</t>
  </si>
  <si>
    <t>Budget Allocated</t>
  </si>
  <si>
    <t>Expense 2022</t>
  </si>
  <si>
    <t>Expense 2023</t>
  </si>
  <si>
    <t xml:space="preserve">Encumbrance </t>
  </si>
  <si>
    <t>CIS: Programming</t>
  </si>
  <si>
    <t>DMT: CNC</t>
  </si>
  <si>
    <t>DMT: CAD</t>
  </si>
  <si>
    <t>Business/Marketing</t>
  </si>
  <si>
    <t>Business Admin</t>
  </si>
  <si>
    <t>Real Estate</t>
  </si>
  <si>
    <t>Environmental</t>
  </si>
  <si>
    <t>Paraleagal</t>
  </si>
  <si>
    <t>Admin of Justice</t>
  </si>
  <si>
    <t>Health Tech</t>
  </si>
  <si>
    <t>Filim/TV</t>
  </si>
  <si>
    <t>Pro Photo</t>
  </si>
  <si>
    <t>Energy Management</t>
  </si>
  <si>
    <t>Graphic design</t>
  </si>
  <si>
    <t>Env.Res Management</t>
  </si>
  <si>
    <t>Animation</t>
  </si>
  <si>
    <t>Child Development</t>
  </si>
  <si>
    <t>Paralegal</t>
  </si>
  <si>
    <t>OTI</t>
  </si>
  <si>
    <t>5% Admin</t>
  </si>
  <si>
    <t>Current Expense</t>
  </si>
  <si>
    <t>Current Balance</t>
  </si>
  <si>
    <t>Projected Salaries</t>
  </si>
  <si>
    <t>Expected Balance</t>
  </si>
  <si>
    <t>135060 - SWP Regional - Round 6</t>
  </si>
  <si>
    <t>CTE Outreach</t>
  </si>
  <si>
    <t>CTE Admin</t>
  </si>
  <si>
    <t>Salary projection</t>
  </si>
  <si>
    <t>Monthly Salary</t>
  </si>
  <si>
    <t>Nursing - Local</t>
  </si>
  <si>
    <t>Health tech - Local</t>
  </si>
  <si>
    <t>CTE - Local</t>
  </si>
  <si>
    <t>Outreach - Region</t>
  </si>
  <si>
    <t>CTE Admin - Reg</t>
  </si>
  <si>
    <t>F/TV</t>
  </si>
  <si>
    <t>Perkins Salary Projections</t>
  </si>
  <si>
    <t>Program Name</t>
  </si>
  <si>
    <t>INDEX</t>
  </si>
  <si>
    <t>SWP REGIONAL - R7</t>
  </si>
  <si>
    <t>Organization</t>
  </si>
  <si>
    <t>FUND TBD</t>
  </si>
  <si>
    <t>Program (TOP/ASA Code)</t>
  </si>
  <si>
    <t>094800</t>
  </si>
  <si>
    <t>095300</t>
  </si>
  <si>
    <t>095600</t>
  </si>
  <si>
    <t>123000</t>
  </si>
  <si>
    <t>709000</t>
  </si>
  <si>
    <t>Preliminary Budget</t>
  </si>
  <si>
    <t>ACCT CODE</t>
  </si>
  <si>
    <t>EXPENDITURE ACCT</t>
  </si>
  <si>
    <t>Instructional Salaries</t>
  </si>
  <si>
    <t>Non-instructional Salaries</t>
  </si>
  <si>
    <t>Employee Benefits</t>
  </si>
  <si>
    <t>Supplies &amp; Materials</t>
  </si>
  <si>
    <t>Other Operating Exp. &amp; Svcs.</t>
  </si>
  <si>
    <t>Capital Outlay</t>
  </si>
  <si>
    <t>Indirect Admin</t>
  </si>
  <si>
    <t xml:space="preserve">Budget by Program </t>
  </si>
  <si>
    <t>SWP Regional R7 Allocation</t>
  </si>
  <si>
    <t>SWP LOCAL - R4</t>
  </si>
  <si>
    <t>FUND 135044</t>
  </si>
  <si>
    <t>Projected Budget</t>
  </si>
  <si>
    <t>Total Budget</t>
  </si>
  <si>
    <t>Env. Res Mgmt.</t>
  </si>
  <si>
    <t>Energy Mgmt.</t>
  </si>
  <si>
    <t>Film/TV Prod.</t>
  </si>
  <si>
    <t>CIS: Program.</t>
  </si>
  <si>
    <t>Graphic Des</t>
  </si>
  <si>
    <t>030300</t>
  </si>
  <si>
    <t>094610</t>
  </si>
  <si>
    <t>060420</t>
  </si>
  <si>
    <t>061440</t>
  </si>
  <si>
    <t>070710</t>
  </si>
  <si>
    <t>101200</t>
  </si>
  <si>
    <t>103000</t>
  </si>
  <si>
    <t>120500</t>
  </si>
  <si>
    <t>SWP Local R7 Preliminary Budgets</t>
  </si>
  <si>
    <t>Bus./Marketing</t>
  </si>
  <si>
    <t>Mand. Interp.</t>
  </si>
  <si>
    <t>CTE Career Dev</t>
  </si>
  <si>
    <t>SWP LOCAL - R7</t>
  </si>
  <si>
    <t>120800</t>
  </si>
  <si>
    <t>050500</t>
  </si>
  <si>
    <t>051100</t>
  </si>
  <si>
    <t>140200</t>
  </si>
  <si>
    <t>210500</t>
  </si>
  <si>
    <t>214000</t>
  </si>
  <si>
    <t>SWP Local Budget Allocated</t>
  </si>
  <si>
    <t>SWP Regional Budget Allocated</t>
  </si>
  <si>
    <t>SWP 6 Balance</t>
  </si>
  <si>
    <t>SWP 7 Allocated</t>
  </si>
  <si>
    <t>Total Allocation</t>
  </si>
  <si>
    <t>Mandarin Interpertation</t>
  </si>
  <si>
    <t>By Division</t>
  </si>
  <si>
    <t>BCAT</t>
  </si>
  <si>
    <t>BHES</t>
  </si>
  <si>
    <t>CA</t>
  </si>
  <si>
    <t>LA</t>
  </si>
  <si>
    <t>IIS</t>
  </si>
  <si>
    <t>SSH</t>
  </si>
  <si>
    <t>* Perkins Only</t>
  </si>
  <si>
    <t>Until 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</si>
</sst>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409]* #,##0.00_);_([$$-409]* \(#,##0.00\);_([$$-409]* &quot;-&quot;??_);_(@_)"/>
    <numFmt numFmtId="166" formatCode="_-&quot;$&quot;* #,##0_-;\-&quot;$&quot;* #,##0_-;_-&quot;$&quot;* &quot;-&quot;??_-;_-@_-"/>
    <numFmt numFmtId="167" formatCode="&quot;$&quot;#,##0.00"/>
    <numFmt numFmtId="168" formatCode="_(&quot;$&quot;* #,##0_);_(&quot;$&quot;* \(#,##0\);_(&quot;$&quot;* &quot;-&quot;??_);_(@_)"/>
    <numFmt numFmtId="169" formatCode="&quot;$&quot;#,##0"/>
  </numFmts>
  <fonts count="101" x14ac:knownFonts="1">
    <font>
      <sz val="12"/>
      <color theme="1"/>
      <name val="Calibri"/>
      <family val="2"/>
      <scheme val="minor"/>
    </font>
    <font>
      <sz val="11"/>
      <color theme="1"/>
      <name val="Calibri"/>
      <family val="2"/>
      <scheme val="minor"/>
    </font>
    <font>
      <sz val="12"/>
      <color theme="1"/>
      <name val="Calibri"/>
      <family val="2"/>
      <scheme val="minor"/>
    </font>
    <font>
      <sz val="9"/>
      <color theme="1"/>
      <name val="Times New Roman"/>
      <family val="1"/>
    </font>
    <font>
      <b/>
      <sz val="9"/>
      <color indexed="8"/>
      <name val="Times New Roman"/>
      <family val="1"/>
    </font>
    <font>
      <b/>
      <u/>
      <sz val="9"/>
      <color indexed="8"/>
      <name val="Times New Roman"/>
      <family val="1"/>
    </font>
    <font>
      <sz val="9"/>
      <color indexed="8"/>
      <name val="Times New Roman"/>
      <family val="1"/>
    </font>
    <font>
      <b/>
      <sz val="9"/>
      <color theme="1"/>
      <name val="Times New Roman"/>
      <family val="1"/>
    </font>
    <font>
      <b/>
      <sz val="9"/>
      <color indexed="10"/>
      <name val="Times New Roman"/>
      <family val="1"/>
    </font>
    <font>
      <b/>
      <sz val="18"/>
      <color theme="1"/>
      <name val="Times New Roman"/>
      <family val="1"/>
    </font>
    <font>
      <b/>
      <sz val="12"/>
      <color theme="1"/>
      <name val="Times New Roman"/>
      <family val="1"/>
    </font>
    <font>
      <b/>
      <sz val="9"/>
      <name val="Times New Roman"/>
      <family val="1"/>
    </font>
    <font>
      <sz val="9"/>
      <name val="Times New Roman"/>
      <family val="1"/>
    </font>
    <font>
      <sz val="9"/>
      <color rgb="FF000000"/>
      <name val="Times New Roman"/>
      <family val="1"/>
    </font>
    <font>
      <sz val="11"/>
      <color theme="1"/>
      <name val="Times New Roman"/>
      <family val="1"/>
    </font>
    <font>
      <sz val="9"/>
      <color rgb="FFFF0000"/>
      <name val="Times New Roman"/>
      <family val="1"/>
    </font>
    <font>
      <b/>
      <sz val="9"/>
      <color rgb="FF000000"/>
      <name val="Verdana"/>
      <family val="2"/>
    </font>
    <font>
      <sz val="10"/>
      <color theme="1"/>
      <name val="Times New Roman"/>
      <family val="1"/>
    </font>
    <font>
      <sz val="10"/>
      <color rgb="FF000000"/>
      <name val="Times New Roman"/>
      <family val="1"/>
    </font>
    <font>
      <b/>
      <sz val="9"/>
      <color rgb="FF000000"/>
      <name val="Times New Roman"/>
      <family val="1"/>
    </font>
    <font>
      <b/>
      <i/>
      <sz val="9"/>
      <color rgb="FF000000"/>
      <name val="Times New Roman"/>
      <family val="1"/>
    </font>
    <font>
      <sz val="12"/>
      <name val="Geneva"/>
    </font>
    <font>
      <sz val="12"/>
      <color indexed="8"/>
      <name val="Calibri"/>
      <family val="2"/>
    </font>
    <font>
      <sz val="10"/>
      <name val="Arial"/>
      <family val="2"/>
    </font>
    <font>
      <sz val="12"/>
      <color indexed="8"/>
      <name val="Verdana"/>
      <family val="2"/>
    </font>
    <font>
      <b/>
      <sz val="10"/>
      <color theme="1"/>
      <name val="Times New Roman"/>
      <family val="1"/>
    </font>
    <font>
      <sz val="9"/>
      <color rgb="FF000000"/>
      <name val="Times New Roman"/>
      <family val="1"/>
      <charset val="1"/>
    </font>
    <font>
      <b/>
      <sz val="9"/>
      <color rgb="FFFF0000"/>
      <name val="Times New Roman"/>
      <family val="1"/>
    </font>
    <font>
      <sz val="9"/>
      <color rgb="FF0070C0"/>
      <name val="Times New Roman"/>
      <family val="1"/>
    </font>
    <font>
      <u/>
      <sz val="9"/>
      <color theme="1"/>
      <name val="Times New Roman"/>
      <family val="1"/>
    </font>
    <font>
      <b/>
      <sz val="11"/>
      <color indexed="8"/>
      <name val="Times New Roman"/>
      <family val="1"/>
    </font>
    <font>
      <b/>
      <u/>
      <sz val="11"/>
      <color indexed="8"/>
      <name val="Times New Roman"/>
      <family val="1"/>
    </font>
    <font>
      <sz val="11"/>
      <color indexed="8"/>
      <name val="Times New Roman"/>
      <family val="1"/>
    </font>
    <font>
      <b/>
      <sz val="11"/>
      <color theme="1"/>
      <name val="Times New Roman"/>
      <family val="1"/>
    </font>
    <font>
      <b/>
      <sz val="11"/>
      <color indexed="10"/>
      <name val="Times New Roman"/>
      <family val="1"/>
    </font>
    <font>
      <b/>
      <sz val="11"/>
      <name val="Times New Roman"/>
      <family val="1"/>
    </font>
    <font>
      <sz val="11"/>
      <name val="Times New Roman"/>
      <family val="1"/>
    </font>
    <font>
      <sz val="11"/>
      <color rgb="FF000000"/>
      <name val="Times New Roman"/>
      <family val="1"/>
    </font>
    <font>
      <sz val="11"/>
      <color rgb="FF000000"/>
      <name val="Calibri"/>
      <family val="2"/>
      <scheme val="minor"/>
    </font>
    <font>
      <b/>
      <sz val="12"/>
      <color theme="1"/>
      <name val="Calibri"/>
      <family val="2"/>
      <scheme val="minor"/>
    </font>
    <font>
      <sz val="10"/>
      <color theme="1"/>
      <name val="Arial"/>
      <family val="2"/>
    </font>
    <font>
      <b/>
      <sz val="10"/>
      <color theme="1"/>
      <name val="Arial"/>
      <family val="2"/>
    </font>
    <font>
      <sz val="10"/>
      <color rgb="FF000000"/>
      <name val="Arial"/>
      <family val="2"/>
    </font>
    <font>
      <b/>
      <sz val="10"/>
      <color theme="7" tint="-0.499984740745262"/>
      <name val="Arial"/>
      <family val="2"/>
    </font>
    <font>
      <sz val="11"/>
      <color rgb="FF000000"/>
      <name val="Calibri"/>
      <family val="2"/>
    </font>
    <font>
      <b/>
      <sz val="10"/>
      <color rgb="FF000000"/>
      <name val="Arial"/>
      <family val="2"/>
    </font>
    <font>
      <sz val="12"/>
      <color theme="1"/>
      <name val="Arial"/>
      <family val="2"/>
    </font>
    <font>
      <sz val="9"/>
      <color theme="1"/>
      <name val="Arial"/>
      <family val="2"/>
    </font>
    <font>
      <b/>
      <sz val="11"/>
      <color rgb="FF000000"/>
      <name val="Calibri"/>
      <family val="2"/>
      <scheme val="minor"/>
    </font>
    <font>
      <sz val="9"/>
      <color theme="1"/>
      <name val="Calibri"/>
      <family val="2"/>
      <scheme val="minor"/>
    </font>
    <font>
      <b/>
      <sz val="12"/>
      <name val="Calibri"/>
      <family val="2"/>
    </font>
    <font>
      <sz val="12"/>
      <name val="Calibri"/>
      <family val="2"/>
    </font>
    <font>
      <sz val="12"/>
      <color theme="1"/>
      <name val="Times New Roman"/>
      <family val="1"/>
    </font>
    <font>
      <sz val="12"/>
      <color rgb="FF00B050"/>
      <name val="Times New Roman"/>
      <family val="1"/>
    </font>
    <font>
      <sz val="12"/>
      <color rgb="FF000000"/>
      <name val="Times New Roman"/>
      <family val="1"/>
    </font>
    <font>
      <sz val="12"/>
      <name val="Times New Roman"/>
      <family val="1"/>
    </font>
    <font>
      <b/>
      <sz val="12"/>
      <color theme="1"/>
      <name val="Calibri"/>
      <family val="2"/>
    </font>
    <font>
      <sz val="12"/>
      <color theme="1"/>
      <name val="Calibri"/>
      <family val="2"/>
    </font>
    <font>
      <sz val="12"/>
      <color rgb="FF000000"/>
      <name val="Calibri"/>
      <family val="2"/>
    </font>
    <font>
      <sz val="12"/>
      <color rgb="FF000000"/>
      <name val="Calibri"/>
      <family val="2"/>
      <scheme val="minor"/>
    </font>
    <font>
      <sz val="12"/>
      <name val="Calibri"/>
      <family val="2"/>
      <scheme val="minor"/>
    </font>
    <font>
      <b/>
      <sz val="12"/>
      <color indexed="8"/>
      <name val="Times New Roman"/>
      <family val="1"/>
    </font>
    <font>
      <sz val="12"/>
      <color indexed="8"/>
      <name val="Times New Roman"/>
      <family val="1"/>
    </font>
    <font>
      <b/>
      <sz val="12"/>
      <name val="Calibri"/>
      <family val="2"/>
      <scheme val="minor"/>
    </font>
    <font>
      <b/>
      <sz val="9"/>
      <color rgb="FF000000"/>
      <name val="Geneva"/>
      <family val="2"/>
    </font>
    <font>
      <b/>
      <sz val="12"/>
      <color rgb="FF000000"/>
      <name val="Calibri"/>
      <family val="2"/>
      <scheme val="minor"/>
    </font>
    <font>
      <b/>
      <sz val="9"/>
      <name val="Geneva"/>
      <family val="2"/>
    </font>
    <font>
      <b/>
      <sz val="9"/>
      <name val="Arial"/>
      <family val="2"/>
    </font>
    <font>
      <b/>
      <sz val="12"/>
      <color rgb="FF000000"/>
      <name val="Geneva"/>
      <family val="2"/>
    </font>
    <font>
      <b/>
      <sz val="11"/>
      <color theme="1"/>
      <name val="Calibri"/>
      <family val="2"/>
      <scheme val="minor"/>
    </font>
    <font>
      <sz val="10"/>
      <color rgb="FFFF0000"/>
      <name val="Arial"/>
      <family val="2"/>
    </font>
    <font>
      <sz val="11"/>
      <color rgb="FF444444"/>
      <name val="Calibri"/>
      <family val="2"/>
      <charset val="1"/>
      <scheme val="minor"/>
    </font>
    <font>
      <sz val="11"/>
      <color rgb="FFFF0000"/>
      <name val="Calibri"/>
      <family val="2"/>
      <scheme val="minor"/>
    </font>
    <font>
      <i/>
      <sz val="9"/>
      <name val="Geneva"/>
      <family val="2"/>
    </font>
    <font>
      <b/>
      <i/>
      <sz val="9"/>
      <name val="Geneva"/>
      <family val="2"/>
    </font>
    <font>
      <b/>
      <i/>
      <sz val="11"/>
      <name val="Geneva"/>
      <family val="2"/>
    </font>
    <font>
      <b/>
      <sz val="11"/>
      <name val="Geneva"/>
      <family val="2"/>
    </font>
    <font>
      <b/>
      <sz val="12"/>
      <name val="Geneva"/>
      <family val="2"/>
    </font>
    <font>
      <b/>
      <i/>
      <sz val="10"/>
      <name val="Geneva"/>
      <family val="2"/>
    </font>
    <font>
      <b/>
      <sz val="10"/>
      <name val="Geneva"/>
      <family val="2"/>
    </font>
    <font>
      <b/>
      <sz val="14"/>
      <name val="Geneva"/>
      <family val="2"/>
    </font>
    <font>
      <b/>
      <i/>
      <sz val="12"/>
      <name val="Geneva"/>
      <family val="2"/>
    </font>
    <font>
      <sz val="9"/>
      <name val="Geneva"/>
      <family val="2"/>
    </font>
    <font>
      <b/>
      <sz val="12"/>
      <name val="Arial"/>
      <family val="2"/>
    </font>
    <font>
      <b/>
      <i/>
      <sz val="10"/>
      <name val="Arial"/>
      <family val="2"/>
    </font>
    <font>
      <b/>
      <i/>
      <u/>
      <sz val="10"/>
      <color rgb="FF0070C0"/>
      <name val="Arial"/>
      <family val="2"/>
    </font>
    <font>
      <b/>
      <i/>
      <u/>
      <sz val="10"/>
      <color theme="4"/>
      <name val="Arial"/>
      <family val="2"/>
    </font>
    <font>
      <b/>
      <u/>
      <sz val="10"/>
      <color theme="4"/>
      <name val="Arial"/>
      <family val="2"/>
    </font>
    <font>
      <b/>
      <sz val="9"/>
      <color theme="4"/>
      <name val="Geneva"/>
      <family val="2"/>
    </font>
    <font>
      <b/>
      <u/>
      <sz val="9"/>
      <color theme="4"/>
      <name val="Geneva"/>
      <family val="2"/>
    </font>
    <font>
      <b/>
      <sz val="11"/>
      <color theme="4"/>
      <name val="Geneva"/>
      <family val="2"/>
    </font>
    <font>
      <b/>
      <u/>
      <sz val="11"/>
      <color theme="4"/>
      <name val="Geneva"/>
      <family val="2"/>
    </font>
    <font>
      <b/>
      <sz val="10"/>
      <color theme="4"/>
      <name val="Geneva"/>
      <family val="2"/>
    </font>
    <font>
      <b/>
      <u/>
      <sz val="10"/>
      <color theme="4"/>
      <name val="Geneva"/>
      <family val="2"/>
    </font>
    <font>
      <b/>
      <i/>
      <sz val="9"/>
      <color theme="4"/>
      <name val="Geneva"/>
      <family val="2"/>
    </font>
    <font>
      <b/>
      <i/>
      <u/>
      <sz val="9"/>
      <color theme="4"/>
      <name val="Geneva"/>
      <family val="2"/>
    </font>
    <font>
      <b/>
      <sz val="10"/>
      <color theme="4"/>
      <name val="Arial"/>
      <family val="2"/>
    </font>
    <font>
      <b/>
      <i/>
      <sz val="10"/>
      <color theme="4"/>
      <name val="Arial"/>
      <family val="2"/>
    </font>
    <font>
      <b/>
      <sz val="10"/>
      <name val="Arial"/>
      <family val="2"/>
    </font>
    <font>
      <b/>
      <i/>
      <u/>
      <sz val="10"/>
      <color indexed="10"/>
      <name val="Arial"/>
      <family val="2"/>
    </font>
    <font>
      <b/>
      <i/>
      <u/>
      <sz val="10"/>
      <color rgb="FF4472C4"/>
      <name val="Arial"/>
      <family val="2"/>
    </font>
  </fonts>
  <fills count="29">
    <fill>
      <patternFill patternType="none"/>
    </fill>
    <fill>
      <patternFill patternType="gray125"/>
    </fill>
    <fill>
      <patternFill patternType="solid">
        <fgColor theme="2"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rgb="FF3366FF"/>
        <bgColor rgb="FF000000"/>
      </patternFill>
    </fill>
    <fill>
      <patternFill patternType="solid">
        <fgColor theme="0" tint="-0.249977111117893"/>
        <bgColor indexed="64"/>
      </patternFill>
    </fill>
    <fill>
      <patternFill patternType="solid">
        <fgColor rgb="FF46BDC6"/>
        <bgColor rgb="FF000000"/>
      </patternFill>
    </fill>
    <fill>
      <patternFill patternType="solid">
        <fgColor rgb="FFD9D9D9"/>
        <bgColor rgb="FF000000"/>
      </patternFill>
    </fill>
    <fill>
      <patternFill patternType="solid">
        <fgColor theme="6" tint="-0.249977111117893"/>
        <bgColor indexed="64"/>
      </patternFill>
    </fill>
    <fill>
      <patternFill patternType="solid">
        <fgColor indexed="48"/>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00B050"/>
        <bgColor rgb="FF000000"/>
      </patternFill>
    </fill>
    <fill>
      <patternFill patternType="solid">
        <fgColor rgb="FFD6DCE4"/>
        <bgColor rgb="FF000000"/>
      </patternFill>
    </fill>
  </fills>
  <borders count="53">
    <border>
      <left/>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auto="1"/>
      </right>
      <top/>
      <bottom/>
      <diagonal/>
    </border>
    <border>
      <left/>
      <right style="thin">
        <color auto="1"/>
      </right>
      <top style="thin">
        <color auto="1"/>
      </top>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thin">
        <color rgb="FF000000"/>
      </right>
      <top/>
      <bottom/>
      <diagonal/>
    </border>
    <border>
      <left style="thin">
        <color indexed="64"/>
      </left>
      <right/>
      <top style="medium">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s>
  <cellStyleXfs count="23">
    <xf numFmtId="0" fontId="0"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 fillId="0" borderId="0"/>
    <xf numFmtId="0" fontId="1" fillId="0" borderId="0"/>
    <xf numFmtId="0" fontId="24" fillId="0" borderId="0" applyNumberFormat="0" applyFill="0" applyBorder="0" applyProtection="0">
      <alignment vertical="top" wrapText="1"/>
    </xf>
    <xf numFmtId="0" fontId="1" fillId="0" borderId="0"/>
    <xf numFmtId="0" fontId="23" fillId="0" borderId="0"/>
    <xf numFmtId="0" fontId="2" fillId="0" borderId="0"/>
    <xf numFmtId="0" fontId="21" fillId="0" borderId="0"/>
    <xf numFmtId="0" fontId="1" fillId="0" borderId="0"/>
  </cellStyleXfs>
  <cellXfs count="757">
    <xf numFmtId="0" fontId="0" fillId="0" borderId="0" xfId="0"/>
    <xf numFmtId="0" fontId="3" fillId="0" borderId="0" xfId="0" applyFont="1" applyAlignment="1">
      <alignment vertical="center"/>
    </xf>
    <xf numFmtId="0" fontId="3" fillId="0" borderId="0" xfId="0" applyFont="1" applyAlignment="1">
      <alignment horizontal="center" vertical="center"/>
    </xf>
    <xf numFmtId="164" fontId="3" fillId="0" borderId="0" xfId="1" applyFont="1" applyAlignment="1">
      <alignment vertical="center"/>
    </xf>
    <xf numFmtId="0" fontId="3" fillId="0" borderId="0" xfId="0" applyFont="1" applyAlignment="1">
      <alignment vertical="center" wrapText="1"/>
    </xf>
    <xf numFmtId="0" fontId="0" fillId="0" borderId="0" xfId="0" applyAlignment="1">
      <alignment vertical="center"/>
    </xf>
    <xf numFmtId="164" fontId="10" fillId="3" borderId="4" xfId="1" applyFont="1" applyFill="1" applyBorder="1" applyAlignment="1">
      <alignment horizontal="center" vertical="center" wrapText="1"/>
    </xf>
    <xf numFmtId="0" fontId="7"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164" fontId="7" fillId="5" borderId="3" xfId="1" applyFont="1" applyFill="1" applyBorder="1" applyAlignment="1">
      <alignment vertical="center"/>
    </xf>
    <xf numFmtId="0" fontId="7" fillId="4" borderId="3" xfId="0" applyFont="1" applyFill="1" applyBorder="1" applyAlignment="1">
      <alignment horizontal="center" vertical="center" wrapText="1"/>
    </xf>
    <xf numFmtId="164" fontId="7" fillId="4" borderId="6" xfId="1" applyFont="1" applyFill="1" applyBorder="1" applyAlignment="1">
      <alignment horizontal="center" vertical="center" wrapText="1"/>
    </xf>
    <xf numFmtId="0" fontId="3" fillId="0" borderId="3" xfId="0" applyFont="1" applyBorder="1" applyAlignment="1">
      <alignment vertical="center" wrapText="1"/>
    </xf>
    <xf numFmtId="0" fontId="14" fillId="0" borderId="0" xfId="0" applyFont="1" applyAlignment="1">
      <alignment vertical="center"/>
    </xf>
    <xf numFmtId="0" fontId="13" fillId="6" borderId="3" xfId="0" applyFont="1" applyFill="1" applyBorder="1" applyAlignment="1">
      <alignment horizontal="left" vertical="center" wrapText="1"/>
    </xf>
    <xf numFmtId="0" fontId="3" fillId="4" borderId="3" xfId="0" applyFont="1" applyFill="1" applyBorder="1" applyAlignment="1">
      <alignment horizontal="center" vertical="center"/>
    </xf>
    <xf numFmtId="164" fontId="3" fillId="4" borderId="3" xfId="0" applyNumberFormat="1" applyFont="1" applyFill="1" applyBorder="1" applyAlignment="1">
      <alignment horizontal="center" vertical="center"/>
    </xf>
    <xf numFmtId="164" fontId="3" fillId="4" borderId="3" xfId="1" applyFont="1" applyFill="1" applyBorder="1" applyAlignment="1">
      <alignment vertical="center"/>
    </xf>
    <xf numFmtId="164" fontId="3" fillId="4" borderId="3" xfId="1"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left" vertical="center" wrapText="1"/>
    </xf>
    <xf numFmtId="0" fontId="13" fillId="0" borderId="3" xfId="2"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3" fillId="0" borderId="3" xfId="0" applyFont="1" applyBorder="1" applyAlignment="1">
      <alignment horizontal="center" vertical="center"/>
    </xf>
    <xf numFmtId="164" fontId="3" fillId="0" borderId="3" xfId="3" applyFont="1" applyFill="1" applyBorder="1" applyAlignment="1">
      <alignment vertical="center" wrapText="1"/>
    </xf>
    <xf numFmtId="164" fontId="3" fillId="0" borderId="3" xfId="1" applyFont="1" applyBorder="1" applyAlignment="1">
      <alignment vertical="center"/>
    </xf>
    <xf numFmtId="164" fontId="3" fillId="0" borderId="3" xfId="1" applyFont="1" applyFill="1" applyBorder="1" applyAlignment="1">
      <alignment vertical="center"/>
    </xf>
    <xf numFmtId="164" fontId="7" fillId="0" borderId="3" xfId="0" applyNumberFormat="1" applyFont="1" applyBorder="1" applyAlignment="1">
      <alignment vertical="center"/>
    </xf>
    <xf numFmtId="0" fontId="11" fillId="0" borderId="3" xfId="0" applyFont="1" applyBorder="1" applyAlignment="1">
      <alignment horizontal="left" vertical="center" wrapText="1"/>
    </xf>
    <xf numFmtId="0" fontId="12" fillId="0" borderId="3" xfId="0" applyFont="1" applyBorder="1" applyAlignment="1">
      <alignment horizontal="center" vertical="center" wrapText="1"/>
    </xf>
    <xf numFmtId="164" fontId="3" fillId="0" borderId="3" xfId="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7" fillId="0" borderId="3" xfId="0" applyFont="1" applyBorder="1" applyAlignment="1">
      <alignment vertical="center" wrapText="1"/>
    </xf>
    <xf numFmtId="0" fontId="3" fillId="4" borderId="3" xfId="0" applyFont="1" applyFill="1" applyBorder="1" applyAlignment="1">
      <alignment horizontal="center" vertical="center" wrapText="1"/>
    </xf>
    <xf numFmtId="0" fontId="3" fillId="0" borderId="3" xfId="0" applyFont="1" applyBorder="1" applyAlignment="1">
      <alignment vertical="center"/>
    </xf>
    <xf numFmtId="164" fontId="3" fillId="0" borderId="3" xfId="0" applyNumberFormat="1" applyFont="1" applyBorder="1" applyAlignment="1">
      <alignment vertical="center"/>
    </xf>
    <xf numFmtId="164" fontId="3" fillId="0" borderId="3" xfId="1" applyFont="1" applyBorder="1" applyAlignment="1">
      <alignment horizontal="center" vertical="center" wrapText="1"/>
    </xf>
    <xf numFmtId="0" fontId="3" fillId="0" borderId="3" xfId="2" applyFont="1" applyBorder="1" applyAlignment="1">
      <alignment horizontal="center" vertical="center" wrapText="1"/>
    </xf>
    <xf numFmtId="0" fontId="12" fillId="0" borderId="3" xfId="2" applyFont="1" applyBorder="1" applyAlignment="1">
      <alignment horizontal="left" vertical="center" wrapText="1"/>
    </xf>
    <xf numFmtId="0" fontId="3" fillId="0" borderId="3" xfId="2" applyFont="1" applyBorder="1" applyAlignment="1">
      <alignment horizontal="center" vertical="center"/>
    </xf>
    <xf numFmtId="164" fontId="3" fillId="0" borderId="3" xfId="3" applyFont="1" applyFill="1" applyBorder="1" applyAlignment="1">
      <alignment vertical="center"/>
    </xf>
    <xf numFmtId="0" fontId="17" fillId="0" borderId="0" xfId="0" applyFont="1" applyAlignment="1">
      <alignment vertical="center"/>
    </xf>
    <xf numFmtId="0" fontId="15" fillId="0" borderId="3" xfId="0" applyFont="1" applyBorder="1" applyAlignment="1">
      <alignment vertical="center" wrapText="1"/>
    </xf>
    <xf numFmtId="0" fontId="15" fillId="0" borderId="3" xfId="2" applyFont="1" applyBorder="1" applyAlignment="1">
      <alignment horizontal="left" vertical="center" wrapText="1"/>
    </xf>
    <xf numFmtId="164" fontId="3" fillId="0" borderId="3" xfId="3" applyFont="1" applyFill="1" applyBorder="1" applyAlignment="1" applyProtection="1">
      <alignment vertical="center"/>
    </xf>
    <xf numFmtId="164" fontId="3" fillId="0" borderId="3" xfId="0" applyNumberFormat="1" applyFont="1" applyBorder="1" applyAlignment="1">
      <alignment horizontal="center" vertical="center"/>
    </xf>
    <xf numFmtId="0" fontId="13" fillId="0" borderId="3" xfId="0" applyFont="1" applyBorder="1" applyAlignment="1">
      <alignment horizontal="left" vertical="top" wrapText="1"/>
    </xf>
    <xf numFmtId="164" fontId="3" fillId="0" borderId="3" xfId="1" applyFont="1" applyFill="1" applyBorder="1" applyAlignment="1">
      <alignment vertical="center" wrapText="1"/>
    </xf>
    <xf numFmtId="0" fontId="12" fillId="6" borderId="3" xfId="0" applyFont="1" applyFill="1" applyBorder="1" applyAlignment="1">
      <alignment horizontal="center" vertical="center" wrapText="1"/>
    </xf>
    <xf numFmtId="164" fontId="3" fillId="0" borderId="3" xfId="1" applyFont="1" applyBorder="1" applyAlignment="1">
      <alignment vertical="center" wrapText="1"/>
    </xf>
    <xf numFmtId="0" fontId="14" fillId="0" borderId="0" xfId="0" applyFont="1" applyAlignment="1">
      <alignment horizontal="left" vertical="center"/>
    </xf>
    <xf numFmtId="0" fontId="14" fillId="0" borderId="0" xfId="0" applyFont="1" applyAlignment="1">
      <alignment horizontal="center" vertical="center"/>
    </xf>
    <xf numFmtId="164" fontId="14" fillId="0" borderId="0" xfId="1" applyFont="1" applyAlignment="1">
      <alignment vertical="center"/>
    </xf>
    <xf numFmtId="0" fontId="14" fillId="0" borderId="0" xfId="0" applyFont="1" applyAlignment="1">
      <alignment vertical="center" wrapText="1"/>
    </xf>
    <xf numFmtId="0" fontId="17" fillId="0" borderId="3" xfId="0" applyFont="1" applyBorder="1" applyAlignment="1">
      <alignment horizontal="center" vertical="center" wrapText="1"/>
    </xf>
    <xf numFmtId="0" fontId="25" fillId="0" borderId="3"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vertical="center"/>
    </xf>
    <xf numFmtId="164" fontId="17" fillId="0" borderId="1" xfId="1" applyFont="1" applyBorder="1" applyAlignment="1">
      <alignment vertical="center"/>
    </xf>
    <xf numFmtId="0" fontId="14" fillId="0" borderId="3" xfId="0" applyFont="1" applyBorder="1" applyAlignment="1">
      <alignment vertical="center"/>
    </xf>
    <xf numFmtId="0" fontId="26" fillId="0" borderId="3" xfId="0" applyFont="1" applyBorder="1" applyAlignment="1">
      <alignment wrapText="1"/>
    </xf>
    <xf numFmtId="0" fontId="16" fillId="0" borderId="0" xfId="0" applyFont="1"/>
    <xf numFmtId="164" fontId="3" fillId="0" borderId="3" xfId="3" applyFont="1" applyBorder="1" applyAlignment="1">
      <alignment vertical="center" wrapText="1"/>
    </xf>
    <xf numFmtId="0" fontId="13" fillId="0" borderId="3" xfId="2" applyFont="1" applyBorder="1" applyAlignment="1">
      <alignment horizontal="center" vertical="center" wrapText="1"/>
    </xf>
    <xf numFmtId="0" fontId="19" fillId="0" borderId="3" xfId="0" applyFont="1" applyBorder="1" applyAlignment="1">
      <alignment horizontal="left" vertical="center" wrapText="1"/>
    </xf>
    <xf numFmtId="0" fontId="3" fillId="0" borderId="3" xfId="3" applyNumberFormat="1" applyFont="1" applyFill="1" applyBorder="1" applyAlignment="1">
      <alignment horizontal="center" vertical="center"/>
    </xf>
    <xf numFmtId="0" fontId="3" fillId="0" borderId="3" xfId="3" applyNumberFormat="1" applyFont="1" applyFill="1" applyBorder="1" applyAlignment="1">
      <alignment horizontal="center" vertical="center" wrapText="1"/>
    </xf>
    <xf numFmtId="44" fontId="3" fillId="0" borderId="3" xfId="2" applyNumberFormat="1" applyFont="1" applyBorder="1" applyAlignment="1">
      <alignment horizontal="center" vertical="center" wrapText="1"/>
    </xf>
    <xf numFmtId="0" fontId="3"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1" fillId="7" borderId="3" xfId="0" applyFont="1" applyFill="1" applyBorder="1" applyAlignment="1">
      <alignment horizontal="left" vertical="center" wrapText="1"/>
    </xf>
    <xf numFmtId="0" fontId="3" fillId="7" borderId="0" xfId="0" applyFont="1" applyFill="1" applyAlignment="1">
      <alignment vertical="center" wrapText="1"/>
    </xf>
    <xf numFmtId="0" fontId="13" fillId="7" borderId="0" xfId="2" applyFont="1" applyFill="1" applyAlignment="1">
      <alignment horizontal="left" vertical="center" wrapText="1"/>
    </xf>
    <xf numFmtId="0" fontId="13" fillId="7" borderId="0" xfId="0" applyFont="1" applyFill="1" applyAlignment="1">
      <alignment horizontal="center" vertical="center"/>
    </xf>
    <xf numFmtId="0" fontId="3" fillId="7" borderId="0" xfId="0" applyFont="1" applyFill="1" applyAlignment="1">
      <alignment horizontal="center" vertical="center"/>
    </xf>
    <xf numFmtId="0" fontId="3" fillId="7" borderId="0" xfId="0" applyFont="1" applyFill="1" applyAlignment="1">
      <alignment horizontal="center" vertical="center" wrapText="1"/>
    </xf>
    <xf numFmtId="164" fontId="3" fillId="7" borderId="0" xfId="3" applyFont="1" applyFill="1" applyBorder="1" applyAlignment="1">
      <alignment vertical="center" wrapText="1"/>
    </xf>
    <xf numFmtId="164" fontId="3" fillId="7" borderId="0" xfId="1" applyFont="1" applyFill="1" applyBorder="1" applyAlignment="1">
      <alignment vertical="center"/>
    </xf>
    <xf numFmtId="164" fontId="7" fillId="7" borderId="0" xfId="0" applyNumberFormat="1" applyFont="1" applyFill="1" applyAlignment="1">
      <alignment vertical="center"/>
    </xf>
    <xf numFmtId="0" fontId="3" fillId="7" borderId="3" xfId="0" applyFont="1" applyFill="1" applyBorder="1" applyAlignment="1">
      <alignment horizontal="center" vertical="center"/>
    </xf>
    <xf numFmtId="164" fontId="3" fillId="7" borderId="3" xfId="0" applyNumberFormat="1" applyFont="1" applyFill="1" applyBorder="1" applyAlignment="1">
      <alignment horizontal="center" vertical="center"/>
    </xf>
    <xf numFmtId="164" fontId="3" fillId="7" borderId="3" xfId="1" applyFont="1" applyFill="1" applyBorder="1" applyAlignment="1">
      <alignment vertical="center"/>
    </xf>
    <xf numFmtId="0" fontId="12" fillId="7" borderId="3" xfId="0" applyFont="1" applyFill="1" applyBorder="1" applyAlignment="1">
      <alignment vertical="center" wrapText="1"/>
    </xf>
    <xf numFmtId="0" fontId="26" fillId="7" borderId="3" xfId="0" applyFont="1" applyFill="1" applyBorder="1" applyAlignment="1">
      <alignment wrapText="1"/>
    </xf>
    <xf numFmtId="0" fontId="13" fillId="7" borderId="3" xfId="0" applyFont="1" applyFill="1" applyBorder="1" applyAlignment="1">
      <alignment horizontal="left" vertical="center" wrapText="1"/>
    </xf>
    <xf numFmtId="0" fontId="13" fillId="7" borderId="3" xfId="0" applyFont="1" applyFill="1" applyBorder="1" applyAlignment="1">
      <alignment horizontal="center" vertical="center"/>
    </xf>
    <xf numFmtId="164" fontId="7" fillId="7" borderId="3" xfId="0" applyNumberFormat="1" applyFont="1" applyFill="1" applyBorder="1" applyAlignment="1">
      <alignment vertical="center"/>
    </xf>
    <xf numFmtId="164" fontId="3" fillId="7" borderId="3" xfId="3" applyFont="1" applyFill="1" applyBorder="1" applyAlignment="1">
      <alignment vertical="center" wrapText="1"/>
    </xf>
    <xf numFmtId="164" fontId="3" fillId="7" borderId="3" xfId="1" applyFont="1" applyFill="1" applyBorder="1" applyAlignment="1">
      <alignment vertical="center" wrapText="1"/>
    </xf>
    <xf numFmtId="0" fontId="3" fillId="7" borderId="3" xfId="0" applyFont="1" applyFill="1" applyBorder="1" applyAlignment="1">
      <alignment vertical="center"/>
    </xf>
    <xf numFmtId="0" fontId="7" fillId="7" borderId="3" xfId="0" applyFont="1" applyFill="1" applyBorder="1" applyAlignment="1">
      <alignment vertical="center" wrapText="1"/>
    </xf>
    <xf numFmtId="0" fontId="12" fillId="7" borderId="3" xfId="0" applyFont="1" applyFill="1" applyBorder="1" applyAlignment="1">
      <alignment horizontal="left" vertical="center" wrapText="1"/>
    </xf>
    <xf numFmtId="0" fontId="3" fillId="7" borderId="3" xfId="0" applyFont="1" applyFill="1" applyBorder="1" applyAlignment="1">
      <alignment vertical="center" wrapText="1"/>
    </xf>
    <xf numFmtId="164" fontId="3" fillId="7" borderId="3" xfId="1" applyFont="1" applyFill="1" applyBorder="1" applyAlignment="1">
      <alignment horizontal="center" vertical="center" wrapText="1"/>
    </xf>
    <xf numFmtId="164" fontId="3" fillId="7" borderId="3" xfId="0" applyNumberFormat="1" applyFont="1" applyFill="1" applyBorder="1" applyAlignment="1">
      <alignment vertical="center"/>
    </xf>
    <xf numFmtId="164" fontId="3" fillId="7" borderId="3" xfId="0" applyNumberFormat="1" applyFont="1" applyFill="1" applyBorder="1" applyAlignment="1">
      <alignment horizontal="center" vertical="center" wrapText="1"/>
    </xf>
    <xf numFmtId="0" fontId="19" fillId="7" borderId="3" xfId="0" applyFont="1" applyFill="1" applyBorder="1" applyAlignment="1">
      <alignment horizontal="left" vertical="center" wrapText="1"/>
    </xf>
    <xf numFmtId="0" fontId="13" fillId="7" borderId="3" xfId="2" applyFont="1" applyFill="1" applyBorder="1" applyAlignment="1">
      <alignment horizontal="left" vertical="center" wrapText="1"/>
    </xf>
    <xf numFmtId="0" fontId="3" fillId="7" borderId="3" xfId="2" applyFont="1" applyFill="1" applyBorder="1" applyAlignment="1">
      <alignment horizontal="center" vertical="center"/>
    </xf>
    <xf numFmtId="0" fontId="3" fillId="7" borderId="3" xfId="3" applyNumberFormat="1" applyFont="1" applyFill="1" applyBorder="1" applyAlignment="1">
      <alignment horizontal="center" vertical="center" wrapText="1"/>
    </xf>
    <xf numFmtId="44" fontId="3" fillId="7" borderId="3" xfId="2" applyNumberFormat="1" applyFont="1" applyFill="1" applyBorder="1" applyAlignment="1">
      <alignment horizontal="center" vertical="center" wrapText="1"/>
    </xf>
    <xf numFmtId="0" fontId="3" fillId="7" borderId="3" xfId="3" applyNumberFormat="1" applyFont="1" applyFill="1" applyBorder="1" applyAlignment="1">
      <alignment horizontal="center" vertical="center"/>
    </xf>
    <xf numFmtId="164" fontId="3" fillId="7" borderId="3" xfId="3" applyFont="1" applyFill="1" applyBorder="1" applyAlignment="1" applyProtection="1">
      <alignment vertical="center"/>
    </xf>
    <xf numFmtId="0" fontId="13" fillId="7" borderId="3" xfId="0" applyFont="1" applyFill="1" applyBorder="1" applyAlignment="1">
      <alignment horizontal="left" vertical="top" wrapText="1"/>
    </xf>
    <xf numFmtId="0" fontId="3" fillId="8" borderId="3" xfId="0" applyFont="1" applyFill="1" applyBorder="1" applyAlignment="1">
      <alignment horizontal="center" vertical="center" wrapText="1"/>
    </xf>
    <xf numFmtId="0" fontId="7" fillId="8" borderId="3" xfId="0" applyFont="1" applyFill="1" applyBorder="1" applyAlignment="1">
      <alignment vertical="center" wrapText="1"/>
    </xf>
    <xf numFmtId="0" fontId="7" fillId="8" borderId="3" xfId="0" applyFont="1" applyFill="1" applyBorder="1" applyAlignment="1">
      <alignment horizontal="left" vertical="center" wrapText="1"/>
    </xf>
    <xf numFmtId="0" fontId="14" fillId="8" borderId="0" xfId="0" applyFont="1" applyFill="1" applyAlignment="1">
      <alignment vertical="center"/>
    </xf>
    <xf numFmtId="0" fontId="14" fillId="8" borderId="0" xfId="0" applyFont="1" applyFill="1" applyAlignment="1">
      <alignment horizontal="center" vertical="center"/>
    </xf>
    <xf numFmtId="164" fontId="3" fillId="8" borderId="3" xfId="1" applyFont="1" applyFill="1" applyBorder="1" applyAlignment="1">
      <alignment vertical="center"/>
    </xf>
    <xf numFmtId="0" fontId="3" fillId="8" borderId="3" xfId="0" applyFont="1" applyFill="1" applyBorder="1" applyAlignment="1">
      <alignment vertical="center" wrapText="1"/>
    </xf>
    <xf numFmtId="0" fontId="13" fillId="0" borderId="3" xfId="0" applyFont="1" applyBorder="1" applyAlignment="1">
      <alignment horizontal="center" vertical="center" wrapText="1"/>
    </xf>
    <xf numFmtId="8" fontId="13" fillId="0" borderId="3" xfId="0" applyNumberFormat="1" applyFont="1" applyBorder="1" applyAlignment="1">
      <alignment vertical="center" wrapText="1"/>
    </xf>
    <xf numFmtId="8" fontId="13" fillId="0" borderId="3" xfId="0" applyNumberFormat="1" applyFont="1" applyBorder="1" applyAlignment="1">
      <alignment horizontal="left" vertical="center" wrapText="1"/>
    </xf>
    <xf numFmtId="0" fontId="15" fillId="0" borderId="3" xfId="0" applyFont="1" applyBorder="1" applyAlignment="1">
      <alignment horizontal="center" vertical="center" wrapText="1"/>
    </xf>
    <xf numFmtId="0" fontId="27" fillId="0" borderId="3" xfId="0" applyFont="1" applyBorder="1" applyAlignment="1">
      <alignment horizontal="left" vertical="center" wrapText="1"/>
    </xf>
    <xf numFmtId="0" fontId="15" fillId="0" borderId="3" xfId="0" applyFont="1" applyBorder="1" applyAlignment="1">
      <alignment horizontal="center" vertical="center"/>
    </xf>
    <xf numFmtId="164" fontId="15" fillId="0" borderId="3" xfId="1" applyFont="1" applyBorder="1" applyAlignment="1">
      <alignment vertical="center"/>
    </xf>
    <xf numFmtId="164" fontId="28" fillId="0" borderId="3" xfId="1" applyFont="1" applyFill="1" applyBorder="1" applyAlignment="1">
      <alignment vertical="center"/>
    </xf>
    <xf numFmtId="164" fontId="28" fillId="0" borderId="3" xfId="1" applyFont="1" applyBorder="1" applyAlignment="1">
      <alignment vertical="center"/>
    </xf>
    <xf numFmtId="0" fontId="14" fillId="0" borderId="7" xfId="0" applyFont="1" applyBorder="1" applyAlignment="1">
      <alignment horizontal="left" vertical="center" wrapText="1"/>
    </xf>
    <xf numFmtId="0" fontId="14" fillId="0" borderId="7" xfId="0" applyFont="1" applyBorder="1" applyAlignment="1">
      <alignment vertical="center"/>
    </xf>
    <xf numFmtId="0" fontId="14" fillId="0" borderId="7" xfId="0" applyFont="1" applyBorder="1" applyAlignment="1">
      <alignment horizontal="left" vertical="center"/>
    </xf>
    <xf numFmtId="0" fontId="14" fillId="0" borderId="7" xfId="0" applyFont="1" applyBorder="1" applyAlignment="1">
      <alignment vertical="center" wrapText="1"/>
    </xf>
    <xf numFmtId="0" fontId="14" fillId="0" borderId="7" xfId="0" applyFont="1" applyBorder="1" applyAlignment="1">
      <alignment horizontal="center" vertical="center"/>
    </xf>
    <xf numFmtId="165" fontId="14" fillId="0" borderId="7" xfId="0" applyNumberFormat="1" applyFont="1" applyBorder="1" applyAlignment="1">
      <alignment vertical="center"/>
    </xf>
    <xf numFmtId="164" fontId="3" fillId="0" borderId="7" xfId="1" applyFont="1" applyBorder="1" applyAlignment="1">
      <alignment vertical="center" wrapText="1"/>
    </xf>
    <xf numFmtId="164" fontId="3" fillId="0" borderId="7" xfId="1" applyFont="1" applyBorder="1" applyAlignment="1">
      <alignment vertical="center"/>
    </xf>
    <xf numFmtId="164" fontId="3" fillId="0" borderId="7" xfId="1" applyFont="1" applyFill="1" applyBorder="1" applyAlignment="1">
      <alignment vertical="center"/>
    </xf>
    <xf numFmtId="164" fontId="7" fillId="0" borderId="7" xfId="0" applyNumberFormat="1" applyFont="1" applyBorder="1" applyAlignment="1">
      <alignment vertical="center"/>
    </xf>
    <xf numFmtId="0" fontId="3"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5" fillId="0" borderId="5" xfId="2" applyFont="1" applyBorder="1" applyAlignment="1">
      <alignment horizontal="left" vertical="center" wrapText="1"/>
    </xf>
    <xf numFmtId="0" fontId="13" fillId="0" borderId="5" xfId="0" applyFont="1" applyBorder="1" applyAlignment="1">
      <alignment vertical="center" wrapText="1"/>
    </xf>
    <xf numFmtId="0" fontId="13" fillId="0" borderId="5" xfId="0" applyFont="1" applyBorder="1" applyAlignment="1">
      <alignment horizontal="center" vertical="center"/>
    </xf>
    <xf numFmtId="0" fontId="3" fillId="0" borderId="5" xfId="0" applyFont="1" applyBorder="1" applyAlignment="1">
      <alignment horizontal="center" vertical="center"/>
    </xf>
    <xf numFmtId="164" fontId="3" fillId="0" borderId="5" xfId="3" applyFont="1" applyFill="1" applyBorder="1" applyAlignment="1">
      <alignment vertical="center" wrapText="1"/>
    </xf>
    <xf numFmtId="164" fontId="3" fillId="0" borderId="5" xfId="1" applyFont="1" applyBorder="1" applyAlignment="1">
      <alignment vertical="center" wrapText="1"/>
    </xf>
    <xf numFmtId="164" fontId="3" fillId="0" borderId="5" xfId="1" applyFont="1" applyBorder="1" applyAlignment="1">
      <alignment vertical="center"/>
    </xf>
    <xf numFmtId="164" fontId="3" fillId="0" borderId="5" xfId="1" applyFont="1" applyFill="1" applyBorder="1" applyAlignment="1">
      <alignment vertical="center"/>
    </xf>
    <xf numFmtId="164" fontId="7" fillId="0" borderId="5" xfId="0" applyNumberFormat="1" applyFont="1" applyBorder="1" applyAlignment="1">
      <alignment vertical="center"/>
    </xf>
    <xf numFmtId="0" fontId="3" fillId="4" borderId="5" xfId="0" applyFont="1" applyFill="1" applyBorder="1" applyAlignment="1">
      <alignment horizontal="center" vertical="center"/>
    </xf>
    <xf numFmtId="0" fontId="3" fillId="0" borderId="0" xfId="0" applyFont="1" applyAlignment="1">
      <alignment horizontal="center" vertical="center"/>
    </xf>
    <xf numFmtId="0" fontId="7" fillId="4" borderId="1" xfId="0" applyFont="1" applyFill="1" applyBorder="1" applyAlignment="1">
      <alignment horizontal="center" vertical="center" wrapText="1"/>
    </xf>
    <xf numFmtId="166" fontId="7" fillId="0" borderId="3" xfId="0" applyNumberFormat="1" applyFont="1" applyBorder="1" applyAlignment="1">
      <alignment vertical="center"/>
    </xf>
    <xf numFmtId="6" fontId="3" fillId="4" borderId="3" xfId="0" applyNumberFormat="1" applyFont="1" applyFill="1" applyBorder="1" applyAlignment="1">
      <alignment horizontal="center" vertical="center" wrapText="1"/>
    </xf>
    <xf numFmtId="0" fontId="3" fillId="4" borderId="1" xfId="0" applyFont="1" applyFill="1" applyBorder="1" applyAlignment="1">
      <alignment vertical="center"/>
    </xf>
    <xf numFmtId="6" fontId="3" fillId="4" borderId="3"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29" fillId="0" borderId="3" xfId="0" applyFont="1" applyBorder="1" applyAlignment="1">
      <alignment horizontal="center" vertical="center" wrapText="1"/>
    </xf>
    <xf numFmtId="0" fontId="14" fillId="0" borderId="0" xfId="0" applyFont="1" applyAlignment="1">
      <alignment horizontal="center" vertical="center"/>
    </xf>
    <xf numFmtId="0" fontId="33" fillId="5" borderId="3" xfId="0" applyFont="1" applyFill="1" applyBorder="1" applyAlignment="1">
      <alignment horizontal="center" vertical="center" wrapText="1"/>
    </xf>
    <xf numFmtId="0" fontId="35" fillId="5" borderId="3" xfId="0" applyFont="1" applyFill="1" applyBorder="1" applyAlignment="1">
      <alignment vertical="center" wrapText="1"/>
    </xf>
    <xf numFmtId="0" fontId="35" fillId="5" borderId="3" xfId="0" applyFont="1" applyFill="1" applyBorder="1" applyAlignment="1">
      <alignment horizontal="left" vertical="center" wrapText="1"/>
    </xf>
    <xf numFmtId="0" fontId="30" fillId="5" borderId="3"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7" fillId="0" borderId="3" xfId="0" applyFont="1" applyBorder="1" applyAlignment="1">
      <alignment horizontal="center" vertical="center" wrapText="1"/>
    </xf>
    <xf numFmtId="0" fontId="36" fillId="9" borderId="3"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7" fillId="0" borderId="3" xfId="0" applyFont="1" applyBorder="1" applyAlignment="1">
      <alignment horizontal="left" vertical="center" wrapText="1"/>
    </xf>
    <xf numFmtId="0" fontId="38" fillId="0" borderId="3" xfId="0" applyFont="1" applyBorder="1" applyAlignment="1">
      <alignment horizontal="center" vertical="center"/>
    </xf>
    <xf numFmtId="8" fontId="37" fillId="0" borderId="3" xfId="0" applyNumberFormat="1" applyFont="1" applyBorder="1" applyAlignment="1">
      <alignment vertical="center"/>
    </xf>
    <xf numFmtId="164" fontId="14" fillId="0" borderId="3" xfId="3" applyFont="1" applyFill="1" applyBorder="1" applyAlignment="1">
      <alignment vertical="center" wrapText="1"/>
    </xf>
    <xf numFmtId="0" fontId="14" fillId="0" borderId="3" xfId="0" applyFont="1" applyBorder="1" applyAlignment="1">
      <alignment horizontal="center" vertical="center"/>
    </xf>
    <xf numFmtId="164" fontId="33" fillId="0" borderId="3" xfId="0" applyNumberFormat="1" applyFont="1" applyBorder="1" applyAlignment="1">
      <alignment vertical="center"/>
    </xf>
    <xf numFmtId="0" fontId="14" fillId="4" borderId="3" xfId="0" applyFont="1" applyFill="1" applyBorder="1" applyAlignment="1">
      <alignment horizontal="center" vertical="center"/>
    </xf>
    <xf numFmtId="0" fontId="14" fillId="4" borderId="3" xfId="0" applyFont="1" applyFill="1" applyBorder="1" applyAlignment="1">
      <alignment vertical="center"/>
    </xf>
    <xf numFmtId="0" fontId="14" fillId="0" borderId="3" xfId="0" applyFont="1" applyBorder="1" applyAlignment="1">
      <alignment vertical="center" wrapText="1"/>
    </xf>
    <xf numFmtId="0" fontId="37" fillId="0" borderId="3" xfId="0" applyFont="1" applyBorder="1" applyAlignment="1">
      <alignment vertical="center" wrapText="1"/>
    </xf>
    <xf numFmtId="0" fontId="37" fillId="0" borderId="3" xfId="0" applyFont="1" applyBorder="1" applyAlignment="1">
      <alignment vertical="center"/>
    </xf>
    <xf numFmtId="0" fontId="36" fillId="11" borderId="3" xfId="0" applyFont="1" applyFill="1" applyBorder="1" applyAlignment="1">
      <alignment horizontal="center" vertical="center" wrapText="1"/>
    </xf>
    <xf numFmtId="0" fontId="36" fillId="0" borderId="3" xfId="0" applyFont="1" applyBorder="1" applyAlignment="1">
      <alignment horizontal="center" vertical="center" wrapText="1"/>
    </xf>
    <xf numFmtId="8" fontId="37" fillId="10" borderId="3" xfId="0" applyNumberFormat="1" applyFont="1" applyFill="1" applyBorder="1" applyAlignment="1">
      <alignment vertical="center" wrapText="1"/>
    </xf>
    <xf numFmtId="164" fontId="33" fillId="2" borderId="3" xfId="0" applyNumberFormat="1" applyFont="1" applyFill="1" applyBorder="1" applyAlignment="1">
      <alignment vertical="center"/>
    </xf>
    <xf numFmtId="0" fontId="33" fillId="0" borderId="3" xfId="0" applyFont="1" applyBorder="1" applyAlignment="1">
      <alignment vertical="center" wrapText="1"/>
    </xf>
    <xf numFmtId="0" fontId="7" fillId="4" borderId="5" xfId="0" applyFont="1" applyFill="1" applyBorder="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9"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0" borderId="10" xfId="0" applyFont="1" applyBorder="1" applyAlignment="1">
      <alignment horizontal="left" vertical="center" wrapText="1"/>
    </xf>
    <xf numFmtId="0" fontId="3" fillId="0" borderId="10" xfId="0" applyFont="1" applyBorder="1" applyAlignment="1">
      <alignment horizontal="left" vertical="center" wrapText="1"/>
    </xf>
    <xf numFmtId="0" fontId="10" fillId="3" borderId="1" xfId="0" applyFont="1" applyFill="1" applyBorder="1" applyAlignment="1">
      <alignment horizontal="center" vertical="center" wrapText="1"/>
    </xf>
    <xf numFmtId="0" fontId="7" fillId="4" borderId="11" xfId="0" applyFont="1" applyFill="1" applyBorder="1" applyAlignment="1">
      <alignment horizontal="center" vertical="center"/>
    </xf>
    <xf numFmtId="0" fontId="14" fillId="0" borderId="0" xfId="0" applyFont="1" applyAlignment="1">
      <alignment horizontal="center" vertical="center"/>
    </xf>
    <xf numFmtId="0" fontId="30" fillId="2" borderId="1"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10" xfId="0" applyFont="1" applyBorder="1" applyAlignment="1">
      <alignment horizontal="left" vertical="center" wrapText="1"/>
    </xf>
    <xf numFmtId="0" fontId="14" fillId="0" borderId="10" xfId="0" applyFont="1" applyBorder="1" applyAlignment="1">
      <alignment horizontal="left" vertical="center" wrapText="1"/>
    </xf>
    <xf numFmtId="0" fontId="33" fillId="2" borderId="3"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4" borderId="3" xfId="0" applyFont="1" applyFill="1" applyBorder="1" applyAlignment="1">
      <alignment horizontal="center" vertical="center"/>
    </xf>
    <xf numFmtId="164" fontId="33" fillId="2" borderId="3" xfId="1" applyFont="1" applyFill="1" applyBorder="1" applyAlignment="1">
      <alignment horizontal="right" vertical="center" wrapText="1"/>
    </xf>
    <xf numFmtId="164" fontId="14" fillId="0" borderId="3" xfId="1" applyFont="1" applyFill="1" applyBorder="1" applyAlignment="1">
      <alignment vertical="center"/>
    </xf>
    <xf numFmtId="164" fontId="14" fillId="0" borderId="3" xfId="1" applyFont="1" applyBorder="1" applyAlignment="1">
      <alignment vertical="center"/>
    </xf>
    <xf numFmtId="164" fontId="33" fillId="5" borderId="3" xfId="1"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pplyBorder="1" applyAlignment="1">
      <alignment vertical="center" wrapText="1"/>
    </xf>
    <xf numFmtId="167" fontId="7" fillId="0" borderId="0" xfId="0" applyNumberFormat="1" applyFont="1" applyAlignment="1">
      <alignment vertical="center"/>
    </xf>
    <xf numFmtId="0" fontId="10" fillId="0" borderId="3" xfId="0" applyFont="1" applyBorder="1" applyAlignment="1">
      <alignmen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9" xfId="0" applyFont="1" applyFill="1" applyBorder="1" applyAlignment="1">
      <alignment horizontal="center" vertical="center"/>
    </xf>
    <xf numFmtId="164" fontId="10" fillId="2" borderId="12" xfId="0" applyNumberFormat="1" applyFont="1" applyFill="1" applyBorder="1" applyAlignment="1">
      <alignment vertical="center"/>
    </xf>
    <xf numFmtId="164" fontId="10" fillId="2" borderId="13" xfId="1" applyFont="1" applyFill="1" applyBorder="1" applyAlignment="1">
      <alignment horizontal="right" vertical="center" wrapText="1"/>
    </xf>
    <xf numFmtId="164" fontId="10" fillId="2" borderId="14" xfId="1" applyFont="1" applyFill="1" applyBorder="1" applyAlignment="1">
      <alignment horizontal="right" vertical="center" wrapText="1"/>
    </xf>
    <xf numFmtId="164" fontId="10" fillId="2" borderId="15" xfId="1" applyFont="1" applyFill="1" applyBorder="1" applyAlignment="1">
      <alignment horizontal="right" vertical="center" wrapText="1"/>
    </xf>
    <xf numFmtId="0" fontId="39" fillId="0" borderId="0" xfId="0" applyFont="1" applyAlignment="1">
      <alignment vertical="center"/>
    </xf>
    <xf numFmtId="0" fontId="40" fillId="0" borderId="0" xfId="0" applyFont="1" applyAlignment="1">
      <alignment vertical="center"/>
    </xf>
    <xf numFmtId="0" fontId="40" fillId="0" borderId="3" xfId="0" applyFont="1" applyBorder="1" applyAlignment="1">
      <alignment vertical="center" wrapText="1"/>
    </xf>
    <xf numFmtId="0" fontId="40" fillId="4" borderId="1" xfId="0" applyFont="1" applyFill="1" applyBorder="1" applyAlignment="1">
      <alignment vertical="center"/>
    </xf>
    <xf numFmtId="0" fontId="40" fillId="4" borderId="3" xfId="0" applyFont="1" applyFill="1" applyBorder="1" applyAlignment="1">
      <alignment horizontal="center" vertical="center" wrapText="1"/>
    </xf>
    <xf numFmtId="164" fontId="41" fillId="0" borderId="3" xfId="0" applyNumberFormat="1" applyFont="1" applyBorder="1" applyAlignment="1">
      <alignment vertical="center"/>
    </xf>
    <xf numFmtId="164" fontId="40" fillId="0" borderId="3" xfId="1" applyFont="1" applyBorder="1" applyAlignment="1">
      <alignment vertical="center"/>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2" fillId="0" borderId="3" xfId="2" applyFont="1" applyFill="1" applyBorder="1" applyAlignment="1">
      <alignment horizontal="left" vertical="center" wrapText="1"/>
    </xf>
    <xf numFmtId="0" fontId="42" fillId="0" borderId="3" xfId="0" applyFont="1" applyBorder="1" applyAlignment="1">
      <alignment horizontal="left" vertical="center" wrapText="1"/>
    </xf>
    <xf numFmtId="0" fontId="23" fillId="6" borderId="3" xfId="0" applyFont="1" applyFill="1" applyBorder="1" applyAlignment="1">
      <alignment horizontal="center" vertical="center" wrapText="1"/>
    </xf>
    <xf numFmtId="0" fontId="40" fillId="0" borderId="3" xfId="2" applyFont="1" applyFill="1" applyBorder="1" applyAlignment="1">
      <alignment horizontal="center" vertical="center" wrapText="1"/>
    </xf>
    <xf numFmtId="0" fontId="40" fillId="0" borderId="3" xfId="0" applyFont="1" applyBorder="1" applyAlignment="1">
      <alignment vertical="top" wrapText="1"/>
    </xf>
    <xf numFmtId="0" fontId="40" fillId="4" borderId="3" xfId="0" applyFont="1" applyFill="1" applyBorder="1" applyAlignment="1">
      <alignment horizontal="center" vertical="top" wrapText="1"/>
    </xf>
    <xf numFmtId="164" fontId="43" fillId="0" borderId="3" xfId="0" applyNumberFormat="1" applyFont="1" applyFill="1" applyBorder="1" applyAlignment="1">
      <alignment vertical="top" wrapText="1"/>
    </xf>
    <xf numFmtId="164" fontId="40" fillId="0" borderId="3" xfId="1" applyFont="1" applyBorder="1" applyAlignment="1">
      <alignment vertical="top" wrapText="1"/>
    </xf>
    <xf numFmtId="0" fontId="40" fillId="0" borderId="3" xfId="0" applyFont="1" applyBorder="1" applyAlignment="1">
      <alignment horizontal="center" vertical="top" wrapText="1"/>
    </xf>
    <xf numFmtId="164" fontId="40" fillId="0" borderId="3" xfId="1" applyFont="1" applyFill="1" applyBorder="1" applyAlignment="1">
      <alignment vertical="top" wrapText="1"/>
    </xf>
    <xf numFmtId="8" fontId="44" fillId="0" borderId="3" xfId="0" applyNumberFormat="1" applyFont="1" applyFill="1" applyBorder="1" applyAlignment="1">
      <alignment vertical="top" wrapText="1"/>
    </xf>
    <xf numFmtId="0" fontId="42" fillId="0" borderId="3" xfId="0" applyFont="1" applyBorder="1" applyAlignment="1">
      <alignment vertical="top" wrapText="1"/>
    </xf>
    <xf numFmtId="0" fontId="40" fillId="0" borderId="3" xfId="0" applyFont="1" applyFill="1" applyBorder="1" applyAlignment="1">
      <alignment vertical="top" wrapText="1"/>
    </xf>
    <xf numFmtId="0" fontId="23" fillId="0" borderId="3" xfId="0" applyFont="1" applyFill="1" applyBorder="1" applyAlignment="1">
      <alignment horizontal="center" vertical="top" wrapText="1"/>
    </xf>
    <xf numFmtId="0" fontId="23" fillId="6" borderId="3" xfId="0" applyFont="1" applyFill="1" applyBorder="1" applyAlignment="1">
      <alignment horizontal="center" vertical="top" wrapText="1"/>
    </xf>
    <xf numFmtId="0" fontId="40" fillId="4" borderId="3" xfId="0" applyFont="1" applyFill="1" applyBorder="1" applyAlignment="1">
      <alignment vertical="top" wrapText="1"/>
    </xf>
    <xf numFmtId="0" fontId="38" fillId="0" borderId="3" xfId="0" applyFont="1" applyBorder="1" applyAlignment="1">
      <alignment vertical="top" wrapText="1"/>
    </xf>
    <xf numFmtId="0" fontId="40" fillId="0" borderId="3" xfId="0" applyFont="1" applyFill="1" applyBorder="1" applyAlignment="1">
      <alignment horizontal="center" vertical="top" wrapText="1"/>
    </xf>
    <xf numFmtId="8" fontId="45" fillId="0" borderId="3" xfId="0" applyNumberFormat="1" applyFont="1" applyBorder="1" applyAlignment="1">
      <alignment vertical="center"/>
    </xf>
    <xf numFmtId="0" fontId="46" fillId="0" borderId="0" xfId="0" applyFont="1" applyAlignment="1">
      <alignment vertical="center"/>
    </xf>
    <xf numFmtId="0" fontId="47" fillId="0" borderId="3" xfId="0" applyFont="1" applyBorder="1" applyAlignment="1">
      <alignment vertical="center" wrapText="1"/>
    </xf>
    <xf numFmtId="0" fontId="47" fillId="4" borderId="1" xfId="0" applyFont="1" applyFill="1" applyBorder="1" applyAlignment="1">
      <alignment vertical="center"/>
    </xf>
    <xf numFmtId="0" fontId="47" fillId="4" borderId="3" xfId="0" applyFont="1" applyFill="1" applyBorder="1" applyAlignment="1">
      <alignment horizontal="center" vertical="center" wrapText="1"/>
    </xf>
    <xf numFmtId="164" fontId="48" fillId="0" borderId="9" xfId="0" applyNumberFormat="1" applyFont="1" applyFill="1" applyBorder="1" applyAlignment="1">
      <alignment vertical="center"/>
    </xf>
    <xf numFmtId="164" fontId="38" fillId="0" borderId="9" xfId="0" applyNumberFormat="1" applyFont="1" applyFill="1" applyBorder="1" applyAlignment="1">
      <alignment vertical="center"/>
    </xf>
    <xf numFmtId="7" fontId="38" fillId="0" borderId="9" xfId="0" applyNumberFormat="1" applyFont="1" applyFill="1" applyBorder="1" applyAlignment="1">
      <alignment vertical="center"/>
    </xf>
    <xf numFmtId="0" fontId="38" fillId="0" borderId="16" xfId="0" applyNumberFormat="1" applyFont="1" applyBorder="1" applyAlignment="1">
      <alignment horizontal="center" wrapText="1"/>
    </xf>
    <xf numFmtId="6" fontId="44" fillId="0" borderId="16" xfId="0" applyNumberFormat="1" applyFont="1" applyFill="1" applyBorder="1" applyAlignment="1">
      <alignment horizontal="center" wrapText="1"/>
    </xf>
    <xf numFmtId="8" fontId="44" fillId="0" borderId="16" xfId="0" applyNumberFormat="1" applyFont="1" applyFill="1" applyBorder="1" applyAlignment="1">
      <alignment wrapText="1"/>
    </xf>
    <xf numFmtId="0" fontId="44" fillId="0" borderId="16" xfId="0" applyFont="1" applyFill="1" applyBorder="1" applyAlignment="1">
      <alignment wrapText="1"/>
    </xf>
    <xf numFmtId="0" fontId="44" fillId="0" borderId="11" xfId="0" applyFont="1" applyFill="1" applyBorder="1" applyAlignment="1">
      <alignment wrapText="1"/>
    </xf>
    <xf numFmtId="164" fontId="43" fillId="0" borderId="3" xfId="0" applyNumberFormat="1" applyFont="1" applyFill="1" applyBorder="1" applyAlignment="1">
      <alignment vertical="center"/>
    </xf>
    <xf numFmtId="0" fontId="40" fillId="4" borderId="1" xfId="0" applyFont="1" applyFill="1" applyBorder="1" applyAlignment="1">
      <alignment horizontal="center" vertical="center" wrapText="1"/>
    </xf>
    <xf numFmtId="0" fontId="40" fillId="4" borderId="3" xfId="0" applyFont="1" applyFill="1" applyBorder="1" applyAlignment="1">
      <alignment horizontal="center" vertical="center"/>
    </xf>
    <xf numFmtId="6" fontId="42" fillId="0" borderId="3" xfId="0" applyNumberFormat="1" applyFont="1" applyBorder="1" applyAlignment="1">
      <alignment vertical="center"/>
    </xf>
    <xf numFmtId="0" fontId="42" fillId="0" borderId="3" xfId="0" applyFont="1" applyBorder="1" applyAlignment="1">
      <alignment horizontal="center" vertical="center" wrapText="1"/>
    </xf>
    <xf numFmtId="0" fontId="42" fillId="0" borderId="3" xfId="0" applyFont="1" applyBorder="1" applyAlignment="1">
      <alignment horizontal="center" vertical="center"/>
    </xf>
    <xf numFmtId="0" fontId="23" fillId="10" borderId="3" xfId="0" applyFont="1" applyFill="1" applyBorder="1" applyAlignment="1">
      <alignment horizontal="center" vertical="center" wrapText="1"/>
    </xf>
    <xf numFmtId="0" fontId="0" fillId="0" borderId="0" xfId="0" applyAlignment="1">
      <alignment wrapText="1"/>
    </xf>
    <xf numFmtId="164" fontId="0" fillId="0" borderId="0" xfId="1" applyFont="1" applyAlignment="1">
      <alignment vertical="center"/>
    </xf>
    <xf numFmtId="164" fontId="3" fillId="0" borderId="3" xfId="1" applyFont="1" applyBorder="1" applyAlignment="1">
      <alignment horizontal="center" vertical="center"/>
    </xf>
    <xf numFmtId="166" fontId="3" fillId="0" borderId="3" xfId="1" applyNumberFormat="1" applyFont="1" applyBorder="1" applyAlignment="1">
      <alignment vertical="center"/>
    </xf>
    <xf numFmtId="0" fontId="3" fillId="4" borderId="3" xfId="0" applyFont="1" applyFill="1" applyBorder="1" applyAlignment="1">
      <alignment vertical="center"/>
    </xf>
    <xf numFmtId="0" fontId="0" fillId="0" borderId="3" xfId="0" applyBorder="1"/>
    <xf numFmtId="0" fontId="49" fillId="0" borderId="3" xfId="0" applyFont="1" applyBorder="1"/>
    <xf numFmtId="6" fontId="49" fillId="0" borderId="3" xfId="0" applyNumberFormat="1" applyFont="1" applyBorder="1"/>
    <xf numFmtId="0" fontId="49" fillId="0" borderId="3" xfId="0" applyFont="1" applyBorder="1" applyAlignment="1">
      <alignment wrapText="1"/>
    </xf>
    <xf numFmtId="0" fontId="3" fillId="0" borderId="3" xfId="1" applyNumberFormat="1" applyFont="1" applyBorder="1" applyAlignment="1">
      <alignment horizontal="center" vertical="center" wrapText="1"/>
    </xf>
    <xf numFmtId="166" fontId="3" fillId="0" borderId="3" xfId="1" applyNumberFormat="1" applyFont="1" applyBorder="1" applyAlignment="1">
      <alignment horizontal="center" vertical="center" wrapText="1"/>
    </xf>
    <xf numFmtId="0" fontId="3" fillId="0" borderId="3" xfId="1" applyNumberFormat="1" applyFont="1" applyBorder="1" applyAlignment="1">
      <alignment horizontal="center" vertical="center"/>
    </xf>
    <xf numFmtId="166" fontId="3" fillId="0" borderId="3" xfId="1" applyNumberFormat="1" applyFont="1" applyBorder="1" applyAlignment="1">
      <alignment horizontal="left" vertical="center" wrapText="1"/>
    </xf>
    <xf numFmtId="166" fontId="3" fillId="0" borderId="3" xfId="1" applyNumberFormat="1" applyFont="1" applyBorder="1" applyAlignment="1">
      <alignment vertical="center" wrapText="1"/>
    </xf>
    <xf numFmtId="164" fontId="7" fillId="5" borderId="3" xfId="1" applyFont="1" applyFill="1" applyBorder="1" applyAlignment="1">
      <alignment horizontal="center" vertical="center" wrapText="1"/>
    </xf>
    <xf numFmtId="0" fontId="0" fillId="0" borderId="0" xfId="0" applyFill="1" applyAlignment="1">
      <alignment vertical="center"/>
    </xf>
    <xf numFmtId="4" fontId="39" fillId="0" borderId="0" xfId="0" applyNumberFormat="1" applyFont="1" applyFill="1"/>
    <xf numFmtId="0" fontId="39" fillId="0" borderId="0" xfId="0" applyFont="1" applyFill="1" applyAlignment="1">
      <alignment vertical="center"/>
    </xf>
    <xf numFmtId="0" fontId="0" fillId="0" borderId="3" xfId="0" applyBorder="1" applyAlignment="1">
      <alignment vertical="center" wrapText="1"/>
    </xf>
    <xf numFmtId="0" fontId="0" fillId="0" borderId="3" xfId="0" applyBorder="1" applyAlignment="1">
      <alignment vertical="center"/>
    </xf>
    <xf numFmtId="0" fontId="51" fillId="6" borderId="3" xfId="0" applyFont="1" applyFill="1" applyBorder="1" applyAlignment="1">
      <alignment horizontal="center" vertical="center" wrapText="1"/>
    </xf>
    <xf numFmtId="164" fontId="10" fillId="12" borderId="3" xfId="0" applyNumberFormat="1" applyFont="1" applyFill="1" applyBorder="1" applyAlignment="1">
      <alignment vertical="center"/>
    </xf>
    <xf numFmtId="164" fontId="52" fillId="12" borderId="3" xfId="1" applyFont="1" applyFill="1" applyBorder="1" applyAlignment="1">
      <alignment vertical="center"/>
    </xf>
    <xf numFmtId="0" fontId="52" fillId="12" borderId="3" xfId="0" applyFont="1" applyFill="1" applyBorder="1" applyAlignment="1">
      <alignment horizontal="center" vertical="center"/>
    </xf>
    <xf numFmtId="0" fontId="53" fillId="12" borderId="3" xfId="0" applyFont="1" applyFill="1" applyBorder="1" applyAlignment="1">
      <alignment horizontal="center" vertical="center" wrapText="1"/>
    </xf>
    <xf numFmtId="0" fontId="54" fillId="12" borderId="3" xfId="0" applyFont="1" applyFill="1" applyBorder="1" applyAlignment="1">
      <alignment horizontal="left" vertical="center" wrapText="1"/>
    </xf>
    <xf numFmtId="0" fontId="52" fillId="12" borderId="3" xfId="0" applyFont="1" applyFill="1" applyBorder="1" applyAlignment="1">
      <alignment vertical="center" wrapText="1"/>
    </xf>
    <xf numFmtId="0" fontId="55" fillId="12" borderId="3" xfId="0" applyFont="1" applyFill="1" applyBorder="1" applyAlignment="1">
      <alignment horizontal="center" vertical="center" wrapText="1"/>
    </xf>
    <xf numFmtId="0" fontId="52" fillId="12" borderId="3" xfId="0" applyFont="1" applyFill="1" applyBorder="1" applyAlignment="1">
      <alignment horizontal="center" vertical="center" wrapText="1"/>
    </xf>
    <xf numFmtId="164" fontId="56" fillId="13" borderId="3" xfId="0" applyNumberFormat="1" applyFont="1" applyFill="1" applyBorder="1" applyAlignment="1">
      <alignment vertical="center"/>
    </xf>
    <xf numFmtId="164" fontId="57" fillId="13" borderId="3" xfId="1" applyFont="1" applyFill="1" applyBorder="1" applyAlignment="1">
      <alignment vertical="center"/>
    </xf>
    <xf numFmtId="1" fontId="57" fillId="13" borderId="3" xfId="0" applyNumberFormat="1" applyFont="1" applyFill="1" applyBorder="1" applyAlignment="1">
      <alignment horizontal="center" vertical="center"/>
    </xf>
    <xf numFmtId="167" fontId="57" fillId="13" borderId="3" xfId="1" applyNumberFormat="1" applyFont="1" applyFill="1" applyBorder="1" applyAlignment="1">
      <alignment horizontal="right" vertical="center"/>
    </xf>
    <xf numFmtId="0" fontId="57" fillId="13" borderId="3" xfId="0" applyFont="1" applyFill="1" applyBorder="1" applyAlignment="1">
      <alignment horizontal="center" vertical="center" wrapText="1"/>
    </xf>
    <xf numFmtId="0" fontId="57" fillId="13" borderId="3" xfId="0" applyFont="1" applyFill="1" applyBorder="1" applyAlignment="1">
      <alignment horizontal="center" vertical="center"/>
    </xf>
    <xf numFmtId="0" fontId="58" fillId="13" borderId="3" xfId="0" applyFont="1" applyFill="1" applyBorder="1" applyAlignment="1">
      <alignment horizontal="left" vertical="center" wrapText="1"/>
    </xf>
    <xf numFmtId="0" fontId="57" fillId="13" borderId="3" xfId="0" applyFont="1" applyFill="1" applyBorder="1" applyAlignment="1">
      <alignment vertical="center" wrapText="1"/>
    </xf>
    <xf numFmtId="0" fontId="51" fillId="13" borderId="3" xfId="0" applyFont="1" applyFill="1" applyBorder="1" applyAlignment="1">
      <alignment horizontal="center" vertical="center" wrapText="1"/>
    </xf>
    <xf numFmtId="164" fontId="39" fillId="13" borderId="3" xfId="0" applyNumberFormat="1" applyFont="1" applyFill="1" applyBorder="1" applyAlignment="1">
      <alignment vertical="center"/>
    </xf>
    <xf numFmtId="164" fontId="39" fillId="13" borderId="3" xfId="2" applyNumberFormat="1" applyFont="1" applyFill="1" applyBorder="1" applyAlignment="1">
      <alignment horizontal="center" vertical="center"/>
    </xf>
    <xf numFmtId="164" fontId="0" fillId="13" borderId="3" xfId="3" applyFont="1" applyFill="1" applyBorder="1" applyAlignment="1" applyProtection="1">
      <alignment vertical="center"/>
    </xf>
    <xf numFmtId="0" fontId="0" fillId="13" borderId="3" xfId="3" applyNumberFormat="1" applyFont="1" applyFill="1" applyBorder="1" applyAlignment="1">
      <alignment horizontal="center" vertical="center"/>
    </xf>
    <xf numFmtId="164" fontId="0" fillId="13" borderId="3" xfId="3" applyFont="1" applyFill="1" applyBorder="1" applyAlignment="1">
      <alignment vertical="center" wrapText="1"/>
    </xf>
    <xf numFmtId="0" fontId="0" fillId="13" borderId="3" xfId="0" applyFont="1" applyFill="1" applyBorder="1" applyAlignment="1">
      <alignment horizontal="center" vertical="center"/>
    </xf>
    <xf numFmtId="0" fontId="0" fillId="13" borderId="3" xfId="2" applyFont="1" applyFill="1" applyBorder="1" applyAlignment="1">
      <alignment horizontal="center" vertical="center"/>
    </xf>
    <xf numFmtId="0" fontId="59" fillId="13" borderId="3" xfId="2" applyFont="1" applyFill="1" applyBorder="1" applyAlignment="1">
      <alignment horizontal="left" vertical="center" wrapText="1"/>
    </xf>
    <xf numFmtId="0" fontId="60" fillId="13" borderId="3" xfId="2" applyFont="1" applyFill="1" applyBorder="1" applyAlignment="1">
      <alignment horizontal="center" vertical="center" wrapText="1"/>
    </xf>
    <xf numFmtId="0" fontId="0" fillId="13" borderId="3" xfId="2" applyFont="1" applyFill="1" applyBorder="1" applyAlignment="1">
      <alignment horizontal="center" vertical="center" wrapText="1"/>
    </xf>
    <xf numFmtId="167" fontId="39" fillId="13" borderId="3" xfId="0" applyNumberFormat="1" applyFont="1" applyFill="1" applyBorder="1" applyAlignment="1">
      <alignment vertical="center"/>
    </xf>
    <xf numFmtId="167" fontId="0" fillId="13" borderId="3" xfId="0" applyNumberFormat="1" applyFont="1" applyFill="1" applyBorder="1" applyAlignment="1">
      <alignment vertical="center"/>
    </xf>
    <xf numFmtId="167" fontId="0" fillId="13" borderId="3" xfId="0" applyNumberFormat="1" applyFont="1" applyFill="1" applyBorder="1" applyAlignment="1">
      <alignment horizontal="center" vertical="center"/>
    </xf>
    <xf numFmtId="0" fontId="0" fillId="13" borderId="3" xfId="0" applyFont="1" applyFill="1" applyBorder="1" applyAlignment="1">
      <alignment vertical="center"/>
    </xf>
    <xf numFmtId="164" fontId="62" fillId="0" borderId="3" xfId="1" applyFont="1" applyBorder="1" applyAlignment="1">
      <alignment vertical="center"/>
    </xf>
    <xf numFmtId="164" fontId="52" fillId="0" borderId="3" xfId="1" applyFont="1" applyBorder="1" applyAlignment="1">
      <alignment vertical="center"/>
    </xf>
    <xf numFmtId="0" fontId="52" fillId="0" borderId="3" xfId="0" applyFont="1" applyBorder="1" applyAlignment="1">
      <alignment horizontal="center" vertical="center"/>
    </xf>
    <xf numFmtId="0" fontId="52" fillId="0" borderId="3" xfId="0" applyFont="1" applyBorder="1" applyAlignment="1">
      <alignment horizontal="center" vertical="center" wrapText="1"/>
    </xf>
    <xf numFmtId="0" fontId="54" fillId="0" borderId="3" xfId="0" applyFont="1" applyBorder="1" applyAlignment="1">
      <alignment horizontal="left" vertical="center" wrapText="1"/>
    </xf>
    <xf numFmtId="0" fontId="52" fillId="0" borderId="3" xfId="0" applyFont="1" applyBorder="1" applyAlignment="1">
      <alignment vertical="center" wrapText="1"/>
    </xf>
    <xf numFmtId="0" fontId="55" fillId="6" borderId="3" xfId="0" applyFont="1" applyFill="1" applyBorder="1" applyAlignment="1">
      <alignment horizontal="center" vertical="center" wrapText="1"/>
    </xf>
    <xf numFmtId="164" fontId="50" fillId="0" borderId="3" xfId="0" applyNumberFormat="1" applyFont="1" applyFill="1" applyBorder="1" applyAlignment="1">
      <alignment vertical="center"/>
    </xf>
    <xf numFmtId="164" fontId="51" fillId="0" borderId="3" xfId="1" applyFont="1" applyFill="1" applyBorder="1" applyAlignment="1">
      <alignment vertical="center"/>
    </xf>
    <xf numFmtId="167" fontId="51" fillId="0" borderId="3" xfId="1" applyNumberFormat="1" applyFont="1" applyFill="1" applyBorder="1" applyAlignment="1">
      <alignment horizontal="right" vertical="center"/>
    </xf>
    <xf numFmtId="0" fontId="51" fillId="0" borderId="3" xfId="0" applyFont="1" applyFill="1" applyBorder="1" applyAlignment="1">
      <alignment horizontal="center" vertical="center" wrapText="1"/>
    </xf>
    <xf numFmtId="0" fontId="51" fillId="0" borderId="3" xfId="0" applyFont="1" applyFill="1" applyBorder="1" applyAlignment="1">
      <alignment horizontal="center" vertical="center"/>
    </xf>
    <xf numFmtId="0" fontId="51" fillId="0" borderId="3" xfId="0" applyFont="1" applyFill="1" applyBorder="1" applyAlignment="1">
      <alignment horizontal="left" vertical="center" wrapText="1"/>
    </xf>
    <xf numFmtId="0" fontId="51" fillId="0" borderId="3" xfId="0" applyFont="1" applyFill="1" applyBorder="1" applyAlignment="1">
      <alignment vertical="center" wrapText="1"/>
    </xf>
    <xf numFmtId="164" fontId="10" fillId="6" borderId="3" xfId="0" applyNumberFormat="1" applyFont="1" applyFill="1" applyBorder="1" applyAlignment="1">
      <alignment vertical="center"/>
    </xf>
    <xf numFmtId="164" fontId="52" fillId="6" borderId="3" xfId="1" applyFont="1" applyFill="1" applyBorder="1" applyAlignment="1">
      <alignment vertical="center"/>
    </xf>
    <xf numFmtId="0" fontId="52" fillId="6" borderId="3" xfId="0" applyFont="1" applyFill="1" applyBorder="1" applyAlignment="1">
      <alignment horizontal="center" vertical="center"/>
    </xf>
    <xf numFmtId="0" fontId="52" fillId="6" borderId="3" xfId="0" applyFont="1" applyFill="1" applyBorder="1" applyAlignment="1">
      <alignment horizontal="center" vertical="center" wrapText="1"/>
    </xf>
    <xf numFmtId="0" fontId="54" fillId="6" borderId="3" xfId="0" applyFont="1" applyFill="1" applyBorder="1" applyAlignment="1">
      <alignment horizontal="left" vertical="center" wrapText="1"/>
    </xf>
    <xf numFmtId="0" fontId="55" fillId="0" borderId="3" xfId="0" applyFont="1" applyFill="1" applyBorder="1" applyAlignment="1">
      <alignment horizontal="center" vertical="center" wrapText="1"/>
    </xf>
    <xf numFmtId="164" fontId="10" fillId="0" borderId="3" xfId="0" applyNumberFormat="1" applyFont="1" applyBorder="1" applyAlignment="1">
      <alignment vertical="center"/>
    </xf>
    <xf numFmtId="164" fontId="39" fillId="0" borderId="3" xfId="0" applyNumberFormat="1" applyFont="1" applyBorder="1" applyAlignment="1">
      <alignment vertical="center"/>
    </xf>
    <xf numFmtId="0" fontId="0" fillId="0" borderId="3" xfId="3" applyNumberFormat="1" applyFont="1" applyFill="1" applyBorder="1" applyAlignment="1">
      <alignment horizontal="center" vertical="center"/>
    </xf>
    <xf numFmtId="0" fontId="0" fillId="0" borderId="3" xfId="0" applyFont="1" applyBorder="1" applyAlignment="1">
      <alignment horizontal="center" vertical="center"/>
    </xf>
    <xf numFmtId="0" fontId="0" fillId="0" borderId="3" xfId="2" applyFont="1" applyBorder="1" applyAlignment="1">
      <alignment horizontal="center" vertical="center"/>
    </xf>
    <xf numFmtId="0" fontId="59" fillId="0" borderId="3" xfId="2" applyFont="1" applyBorder="1" applyAlignment="1">
      <alignment horizontal="left" vertical="center" wrapText="1"/>
    </xf>
    <xf numFmtId="0" fontId="60" fillId="0" borderId="3" xfId="2" applyFont="1" applyBorder="1" applyAlignment="1">
      <alignment horizontal="center" vertical="center" wrapText="1"/>
    </xf>
    <xf numFmtId="0" fontId="0" fillId="0" borderId="3" xfId="2" applyFont="1" applyBorder="1" applyAlignment="1">
      <alignment horizontal="center" vertical="center" wrapText="1"/>
    </xf>
    <xf numFmtId="167" fontId="0" fillId="0" borderId="3" xfId="2" applyNumberFormat="1" applyFont="1" applyBorder="1" applyAlignment="1">
      <alignment horizontal="center" vertical="center" wrapText="1"/>
    </xf>
    <xf numFmtId="164" fontId="0" fillId="0" borderId="3" xfId="3" applyFont="1" applyFill="1" applyBorder="1" applyAlignment="1">
      <alignment horizontal="center" vertical="center" wrapText="1"/>
    </xf>
    <xf numFmtId="164" fontId="0" fillId="0" borderId="3" xfId="3" applyFont="1" applyFill="1" applyBorder="1" applyAlignment="1">
      <alignment vertical="center" wrapText="1"/>
    </xf>
    <xf numFmtId="164" fontId="39" fillId="0" borderId="3" xfId="2" applyNumberFormat="1" applyFont="1" applyFill="1" applyBorder="1" applyAlignment="1">
      <alignment vertical="center"/>
    </xf>
    <xf numFmtId="0" fontId="0" fillId="0" borderId="3" xfId="0" applyFont="1" applyFill="1" applyBorder="1" applyAlignment="1">
      <alignment horizontal="center" vertical="center"/>
    </xf>
    <xf numFmtId="164" fontId="10" fillId="0" borderId="3" xfId="0" applyNumberFormat="1" applyFont="1" applyFill="1" applyBorder="1" applyAlignment="1">
      <alignment vertical="center"/>
    </xf>
    <xf numFmtId="164" fontId="52" fillId="0" borderId="3" xfId="1" applyFont="1" applyFill="1" applyBorder="1" applyAlignment="1">
      <alignment vertical="center"/>
    </xf>
    <xf numFmtId="0" fontId="52" fillId="0" borderId="3" xfId="0" applyFont="1" applyFill="1" applyBorder="1" applyAlignment="1">
      <alignment horizontal="center" vertical="center"/>
    </xf>
    <xf numFmtId="0" fontId="52" fillId="0" borderId="3" xfId="0" applyFont="1" applyFill="1" applyBorder="1" applyAlignment="1">
      <alignment horizontal="center" vertical="center" wrapText="1"/>
    </xf>
    <xf numFmtId="0" fontId="54" fillId="0" borderId="3" xfId="0" applyFont="1" applyFill="1" applyBorder="1" applyAlignment="1">
      <alignment horizontal="left" vertical="center" wrapText="1"/>
    </xf>
    <xf numFmtId="0" fontId="52" fillId="0" borderId="3" xfId="0" applyFont="1" applyFill="1" applyBorder="1" applyAlignment="1">
      <alignment vertical="center" wrapText="1"/>
    </xf>
    <xf numFmtId="0" fontId="54" fillId="6" borderId="3" xfId="2" applyFont="1" applyFill="1" applyBorder="1" applyAlignment="1">
      <alignment horizontal="left" vertical="center" wrapText="1"/>
    </xf>
    <xf numFmtId="0" fontId="54" fillId="0" borderId="3" xfId="0" applyFont="1" applyBorder="1" applyAlignment="1">
      <alignment vertical="center" wrapText="1"/>
    </xf>
    <xf numFmtId="167" fontId="39" fillId="0" borderId="3" xfId="0" applyNumberFormat="1" applyFont="1" applyBorder="1" applyAlignment="1">
      <alignment horizontal="center" vertical="center"/>
    </xf>
    <xf numFmtId="167" fontId="39" fillId="0" borderId="3"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3" xfId="3" applyNumberFormat="1" applyFont="1" applyFill="1" applyBorder="1" applyAlignment="1">
      <alignment horizontal="center" vertical="center" wrapText="1"/>
    </xf>
    <xf numFmtId="0" fontId="54" fillId="0" borderId="17" xfId="0" applyFont="1" applyBorder="1" applyAlignment="1">
      <alignment horizontal="center" vertical="center" wrapText="1"/>
    </xf>
    <xf numFmtId="164" fontId="61" fillId="0" borderId="3" xfId="0" applyNumberFormat="1" applyFont="1" applyBorder="1" applyAlignment="1">
      <alignment vertical="center"/>
    </xf>
    <xf numFmtId="164" fontId="60" fillId="0" borderId="3" xfId="1" applyFont="1" applyFill="1" applyBorder="1" applyAlignment="1">
      <alignment vertical="center"/>
    </xf>
    <xf numFmtId="1" fontId="60" fillId="0" borderId="3" xfId="0" applyNumberFormat="1" applyFont="1" applyBorder="1" applyAlignment="1">
      <alignment horizontal="center" vertical="center"/>
    </xf>
    <xf numFmtId="167" fontId="60" fillId="0" borderId="3" xfId="1" applyNumberFormat="1" applyFont="1" applyFill="1" applyBorder="1" applyAlignment="1">
      <alignment horizontal="right" vertical="center"/>
    </xf>
    <xf numFmtId="0" fontId="60" fillId="0" borderId="3" xfId="0"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left" vertical="center" wrapText="1"/>
    </xf>
    <xf numFmtId="0" fontId="60" fillId="0" borderId="3" xfId="0" applyFont="1" applyBorder="1" applyAlignment="1">
      <alignment vertical="center" wrapText="1"/>
    </xf>
    <xf numFmtId="1" fontId="60" fillId="0" borderId="3" xfId="1" applyNumberFormat="1" applyFont="1" applyFill="1" applyBorder="1" applyAlignment="1">
      <alignment horizontal="center" vertical="center" wrapText="1"/>
    </xf>
    <xf numFmtId="167" fontId="60" fillId="0" borderId="3" xfId="0" applyNumberFormat="1" applyFont="1" applyBorder="1" applyAlignment="1">
      <alignment horizontal="right" vertical="center"/>
    </xf>
    <xf numFmtId="1" fontId="60" fillId="0" borderId="3" xfId="0" applyNumberFormat="1" applyFont="1" applyBorder="1" applyAlignment="1">
      <alignment horizontal="center" vertical="center" wrapText="1"/>
    </xf>
    <xf numFmtId="164" fontId="22" fillId="0" borderId="3" xfId="9" applyFont="1" applyBorder="1" applyAlignment="1">
      <alignment vertical="center"/>
    </xf>
    <xf numFmtId="167" fontId="22" fillId="0" borderId="3" xfId="0" applyNumberFormat="1" applyFont="1" applyBorder="1" applyAlignment="1">
      <alignment vertical="center"/>
    </xf>
    <xf numFmtId="0" fontId="22" fillId="0" borderId="3" xfId="0" applyFont="1" applyBorder="1" applyAlignment="1">
      <alignment horizontal="center" vertical="center"/>
    </xf>
    <xf numFmtId="0" fontId="22" fillId="0" borderId="3" xfId="0" applyFont="1" applyBorder="1" applyAlignment="1">
      <alignment vertical="top"/>
    </xf>
    <xf numFmtId="0" fontId="22" fillId="0" borderId="3" xfId="0" applyFont="1" applyBorder="1" applyAlignment="1">
      <alignment horizontal="left" vertical="center" wrapText="1"/>
    </xf>
    <xf numFmtId="0" fontId="22" fillId="0" borderId="3" xfId="0" applyFont="1" applyBorder="1" applyAlignment="1">
      <alignment vertical="top" wrapText="1"/>
    </xf>
    <xf numFmtId="0" fontId="22" fillId="0" borderId="3" xfId="0" applyFont="1" applyBorder="1" applyAlignment="1">
      <alignment horizontal="center" vertical="center" wrapText="1"/>
    </xf>
    <xf numFmtId="164" fontId="22" fillId="6" borderId="3" xfId="9" applyFont="1" applyFill="1" applyBorder="1" applyAlignment="1">
      <alignment vertical="center"/>
    </xf>
    <xf numFmtId="167" fontId="22" fillId="6" borderId="3" xfId="0" applyNumberFormat="1" applyFont="1" applyFill="1" applyBorder="1" applyAlignment="1">
      <alignment vertical="center"/>
    </xf>
    <xf numFmtId="0" fontId="22" fillId="6" borderId="3" xfId="0" applyFont="1" applyFill="1" applyBorder="1" applyAlignment="1">
      <alignment horizontal="center" vertical="center" wrapText="1"/>
    </xf>
    <xf numFmtId="0" fontId="22" fillId="6" borderId="3" xfId="0" applyFont="1" applyFill="1" applyBorder="1" applyAlignment="1">
      <alignment vertical="top"/>
    </xf>
    <xf numFmtId="0" fontId="22" fillId="6" borderId="3" xfId="0" applyFont="1" applyFill="1" applyBorder="1" applyAlignment="1">
      <alignment horizontal="center" vertical="center"/>
    </xf>
    <xf numFmtId="0" fontId="22" fillId="6" borderId="3" xfId="0" applyFont="1" applyFill="1" applyBorder="1" applyAlignment="1">
      <alignment horizontal="left" vertical="center" wrapText="1"/>
    </xf>
    <xf numFmtId="0" fontId="22" fillId="6" borderId="3" xfId="0" applyFont="1" applyFill="1" applyBorder="1" applyAlignment="1">
      <alignment vertical="top" wrapText="1"/>
    </xf>
    <xf numFmtId="164" fontId="57" fillId="6" borderId="3" xfId="1" applyFont="1" applyFill="1" applyBorder="1" applyAlignment="1">
      <alignment vertical="center"/>
    </xf>
    <xf numFmtId="0" fontId="57" fillId="6" borderId="3" xfId="0" applyFont="1" applyFill="1" applyBorder="1" applyAlignment="1">
      <alignment horizontal="center" vertical="center"/>
    </xf>
    <xf numFmtId="0" fontId="57" fillId="6" borderId="3" xfId="0" applyFont="1" applyFill="1" applyBorder="1" applyAlignment="1">
      <alignment horizontal="center" vertical="center" wrapText="1"/>
    </xf>
    <xf numFmtId="0" fontId="58" fillId="6" borderId="3" xfId="0" applyFont="1" applyFill="1" applyBorder="1" applyAlignment="1">
      <alignment horizontal="left" vertical="center" wrapText="1"/>
    </xf>
    <xf numFmtId="0" fontId="57" fillId="6" borderId="3" xfId="0" applyFont="1" applyFill="1" applyBorder="1" applyAlignment="1">
      <alignment vertical="top" wrapText="1"/>
    </xf>
    <xf numFmtId="0" fontId="0" fillId="0" borderId="3" xfId="0" applyFont="1" applyBorder="1" applyAlignment="1">
      <alignment vertical="center"/>
    </xf>
    <xf numFmtId="164" fontId="0" fillId="0" borderId="3" xfId="3" applyFont="1" applyFill="1" applyBorder="1" applyAlignment="1" applyProtection="1">
      <alignment vertical="center"/>
    </xf>
    <xf numFmtId="167" fontId="0" fillId="0" borderId="3" xfId="2" applyNumberFormat="1" applyFont="1" applyFill="1" applyBorder="1" applyAlignment="1">
      <alignment horizontal="center" vertical="center" wrapText="1"/>
    </xf>
    <xf numFmtId="0" fontId="0" fillId="0" borderId="3" xfId="2" applyFont="1" applyFill="1" applyBorder="1" applyAlignment="1">
      <alignment horizontal="center" vertical="center"/>
    </xf>
    <xf numFmtId="0" fontId="59" fillId="0" borderId="3" xfId="2" applyFont="1" applyFill="1" applyBorder="1" applyAlignment="1">
      <alignment horizontal="left" vertical="center" wrapText="1"/>
    </xf>
    <xf numFmtId="0" fontId="60" fillId="0" borderId="3" xfId="2" applyFont="1" applyFill="1" applyBorder="1" applyAlignment="1">
      <alignment horizontal="center" vertical="center" wrapText="1"/>
    </xf>
    <xf numFmtId="0" fontId="0" fillId="0" borderId="3" xfId="2" applyFont="1" applyFill="1" applyBorder="1" applyAlignment="1">
      <alignment horizontal="center" vertical="center" wrapText="1"/>
    </xf>
    <xf numFmtId="167" fontId="60" fillId="0" borderId="3" xfId="2" applyNumberFormat="1" applyFont="1" applyFill="1" applyBorder="1" applyAlignment="1">
      <alignment horizontal="center" vertical="center" wrapText="1"/>
    </xf>
    <xf numFmtId="164" fontId="39" fillId="0" borderId="3" xfId="1" applyFont="1" applyFill="1" applyBorder="1" applyAlignment="1">
      <alignment horizontal="center" vertical="center"/>
    </xf>
    <xf numFmtId="164" fontId="39" fillId="0" borderId="3" xfId="2" applyNumberFormat="1" applyFont="1" applyFill="1" applyBorder="1" applyAlignment="1">
      <alignment horizontal="center" vertical="center"/>
    </xf>
    <xf numFmtId="6" fontId="0" fillId="0" borderId="3" xfId="2" applyNumberFormat="1" applyFont="1" applyFill="1" applyBorder="1" applyAlignment="1">
      <alignment horizontal="center" vertical="center" wrapText="1"/>
    </xf>
    <xf numFmtId="167" fontId="0" fillId="0" borderId="3" xfId="0" applyNumberFormat="1" applyFont="1" applyFill="1" applyBorder="1" applyAlignment="1">
      <alignment vertical="center"/>
    </xf>
    <xf numFmtId="0" fontId="52" fillId="0" borderId="3" xfId="0" applyFont="1" applyBorder="1" applyAlignment="1">
      <alignment vertical="center"/>
    </xf>
    <xf numFmtId="167" fontId="10" fillId="0" borderId="3" xfId="0" applyNumberFormat="1" applyFont="1" applyBorder="1" applyAlignment="1">
      <alignment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2" fillId="10" borderId="3" xfId="0" applyFont="1" applyFill="1" applyBorder="1" applyAlignment="1">
      <alignment horizontal="center" vertical="center" wrapText="1"/>
    </xf>
    <xf numFmtId="0" fontId="52" fillId="0" borderId="3" xfId="0" applyFont="1" applyFill="1" applyBorder="1" applyAlignment="1">
      <alignment vertical="center"/>
    </xf>
    <xf numFmtId="8" fontId="3" fillId="0" borderId="3" xfId="0" applyNumberFormat="1" applyFont="1" applyBorder="1" applyAlignment="1">
      <alignment horizontal="center" vertical="center"/>
    </xf>
    <xf numFmtId="0" fontId="3" fillId="0" borderId="3" xfId="0" applyFont="1" applyBorder="1" applyAlignment="1">
      <alignment horizontal="left" vertical="center"/>
    </xf>
    <xf numFmtId="8" fontId="13" fillId="0" borderId="3" xfId="0" applyNumberFormat="1" applyFont="1" applyBorder="1" applyAlignment="1">
      <alignment vertical="center"/>
    </xf>
    <xf numFmtId="0" fontId="13" fillId="0" borderId="3" xfId="0" applyFont="1" applyBorder="1" applyAlignment="1">
      <alignment vertical="center" wrapText="1"/>
    </xf>
    <xf numFmtId="0" fontId="7" fillId="4" borderId="3" xfId="0" applyFont="1" applyFill="1" applyBorder="1" applyAlignment="1">
      <alignment horizontal="center" vertical="center"/>
    </xf>
    <xf numFmtId="0" fontId="54" fillId="0" borderId="3" xfId="0" applyFont="1" applyBorder="1" applyAlignment="1">
      <alignment horizontal="center" vertical="center" wrapText="1"/>
    </xf>
    <xf numFmtId="0" fontId="13" fillId="0" borderId="3" xfId="0" applyFont="1" applyBorder="1" applyAlignment="1">
      <alignment vertical="center"/>
    </xf>
    <xf numFmtId="164" fontId="7" fillId="0" borderId="3" xfId="1" applyFont="1" applyBorder="1" applyAlignment="1">
      <alignment horizontal="center" vertical="center"/>
    </xf>
    <xf numFmtId="164" fontId="13" fillId="0" borderId="3" xfId="0" applyNumberFormat="1" applyFont="1" applyBorder="1" applyAlignment="1">
      <alignment vertical="center"/>
    </xf>
    <xf numFmtId="164" fontId="19" fillId="0" borderId="3" xfId="0" applyNumberFormat="1" applyFont="1" applyBorder="1" applyAlignment="1">
      <alignment vertical="center"/>
    </xf>
    <xf numFmtId="164" fontId="10" fillId="2" borderId="3" xfId="1" applyFont="1" applyFill="1" applyBorder="1" applyAlignment="1">
      <alignment horizontal="right" vertical="center" wrapText="1"/>
    </xf>
    <xf numFmtId="164" fontId="10" fillId="2" borderId="3" xfId="0" applyNumberFormat="1" applyFont="1" applyFill="1" applyBorder="1" applyAlignment="1">
      <alignment vertical="center"/>
    </xf>
    <xf numFmtId="164" fontId="39" fillId="2" borderId="3" xfId="0" applyNumberFormat="1" applyFont="1" applyFill="1" applyBorder="1" applyAlignment="1">
      <alignment vertical="center"/>
    </xf>
    <xf numFmtId="164" fontId="39" fillId="0" borderId="3" xfId="0" applyNumberFormat="1" applyFont="1" applyFill="1" applyBorder="1" applyAlignment="1">
      <alignment vertical="center"/>
    </xf>
    <xf numFmtId="0" fontId="39" fillId="2" borderId="3" xfId="0" applyFont="1" applyFill="1" applyBorder="1" applyAlignment="1">
      <alignment horizontal="left" vertical="center" indent="2"/>
    </xf>
    <xf numFmtId="0" fontId="0" fillId="0" borderId="3" xfId="0" applyFont="1" applyBorder="1" applyAlignment="1">
      <alignment horizontal="center" vertical="center" wrapText="1"/>
    </xf>
    <xf numFmtId="44" fontId="0" fillId="0" borderId="3" xfId="2" applyNumberFormat="1" applyFont="1" applyFill="1" applyBorder="1" applyAlignment="1">
      <alignment horizontal="center" vertical="center" wrapText="1"/>
    </xf>
    <xf numFmtId="167" fontId="0" fillId="0" borderId="3" xfId="0" applyNumberFormat="1" applyFont="1" applyFill="1" applyBorder="1" applyAlignment="1">
      <alignment horizontal="center" vertical="center" wrapText="1"/>
    </xf>
    <xf numFmtId="0" fontId="39" fillId="2" borderId="3" xfId="0" applyFont="1" applyFill="1" applyBorder="1" applyAlignment="1">
      <alignment vertical="center"/>
    </xf>
    <xf numFmtId="0" fontId="39" fillId="2" borderId="3" xfId="0" applyFont="1" applyFill="1" applyBorder="1" applyAlignment="1">
      <alignment horizontal="center" vertical="center"/>
    </xf>
    <xf numFmtId="44" fontId="39" fillId="2" borderId="3" xfId="0" applyNumberFormat="1" applyFont="1" applyFill="1" applyBorder="1" applyAlignment="1">
      <alignment vertical="center"/>
    </xf>
    <xf numFmtId="4" fontId="52" fillId="0" borderId="3" xfId="0" applyNumberFormat="1" applyFont="1" applyBorder="1" applyAlignment="1">
      <alignment vertical="center"/>
    </xf>
    <xf numFmtId="8" fontId="52" fillId="0" borderId="3" xfId="0" applyNumberFormat="1" applyFont="1" applyBorder="1"/>
    <xf numFmtId="4" fontId="52" fillId="0" borderId="3" xfId="0" applyNumberFormat="1" applyFont="1" applyBorder="1"/>
    <xf numFmtId="8" fontId="52" fillId="0" borderId="3" xfId="0" applyNumberFormat="1" applyFont="1" applyBorder="1" applyAlignment="1">
      <alignment vertical="center"/>
    </xf>
    <xf numFmtId="164" fontId="56" fillId="6" borderId="3" xfId="0" applyNumberFormat="1" applyFont="1" applyFill="1" applyBorder="1" applyAlignment="1">
      <alignment vertical="center"/>
    </xf>
    <xf numFmtId="164" fontId="56" fillId="0" borderId="3" xfId="0" applyNumberFormat="1" applyFont="1" applyBorder="1" applyAlignment="1">
      <alignment vertical="center"/>
    </xf>
    <xf numFmtId="164" fontId="63" fillId="0" borderId="3" xfId="0" applyNumberFormat="1" applyFont="1" applyBorder="1" applyAlignment="1">
      <alignment vertical="center"/>
    </xf>
    <xf numFmtId="0" fontId="52" fillId="13" borderId="3" xfId="0" applyFont="1" applyFill="1" applyBorder="1" applyAlignment="1">
      <alignment horizontal="center" vertical="center" wrapText="1"/>
    </xf>
    <xf numFmtId="0" fontId="0" fillId="13" borderId="3" xfId="0" applyFill="1" applyBorder="1" applyAlignment="1">
      <alignment horizontal="center" wrapText="1"/>
    </xf>
    <xf numFmtId="0" fontId="0" fillId="13" borderId="3" xfId="0" applyFont="1" applyFill="1" applyBorder="1" applyAlignment="1">
      <alignment vertical="center" wrapText="1"/>
    </xf>
    <xf numFmtId="0" fontId="54" fillId="12" borderId="3" xfId="0" applyFont="1" applyFill="1" applyBorder="1" applyAlignment="1">
      <alignment horizontal="center" wrapText="1"/>
    </xf>
    <xf numFmtId="0" fontId="0" fillId="11" borderId="3" xfId="0" applyFill="1" applyBorder="1"/>
    <xf numFmtId="0" fontId="52" fillId="11" borderId="3" xfId="0" applyFont="1" applyFill="1" applyBorder="1" applyAlignment="1">
      <alignment horizontal="center" vertical="center" wrapText="1"/>
    </xf>
    <xf numFmtId="0" fontId="55" fillId="11" borderId="3" xfId="0" applyFont="1" applyFill="1" applyBorder="1" applyAlignment="1">
      <alignment horizontal="center" vertical="center" wrapText="1"/>
    </xf>
    <xf numFmtId="0" fontId="52" fillId="11" borderId="3" xfId="0" applyFont="1" applyFill="1" applyBorder="1" applyAlignment="1">
      <alignment vertical="center" wrapText="1"/>
    </xf>
    <xf numFmtId="0" fontId="54" fillId="11" borderId="3" xfId="0" applyFont="1" applyFill="1" applyBorder="1" applyAlignment="1">
      <alignment horizontal="left" vertical="center" wrapText="1"/>
    </xf>
    <xf numFmtId="0" fontId="52" fillId="11" borderId="3" xfId="0" applyFont="1" applyFill="1" applyBorder="1" applyAlignment="1">
      <alignment horizontal="center" vertical="center"/>
    </xf>
    <xf numFmtId="164" fontId="52" fillId="11" borderId="3" xfId="1" applyFont="1" applyFill="1" applyBorder="1" applyAlignment="1">
      <alignment vertical="center"/>
    </xf>
    <xf numFmtId="164" fontId="62" fillId="11" borderId="3" xfId="1" applyFont="1" applyFill="1" applyBorder="1" applyAlignment="1">
      <alignment vertical="center"/>
    </xf>
    <xf numFmtId="164" fontId="61" fillId="11" borderId="3" xfId="0" applyNumberFormat="1" applyFont="1" applyFill="1" applyBorder="1" applyAlignment="1">
      <alignment vertical="center"/>
    </xf>
    <xf numFmtId="0" fontId="39" fillId="0" borderId="3" xfId="0" applyFont="1" applyFill="1" applyBorder="1" applyAlignment="1">
      <alignment horizontal="center" vertical="center"/>
    </xf>
    <xf numFmtId="0" fontId="39" fillId="0" borderId="3" xfId="2" applyNumberFormat="1" applyFont="1" applyFill="1" applyBorder="1" applyAlignment="1">
      <alignment horizontal="center" vertical="center"/>
    </xf>
    <xf numFmtId="1" fontId="51" fillId="0" borderId="3" xfId="0" applyNumberFormat="1" applyFont="1" applyFill="1" applyBorder="1" applyAlignment="1">
      <alignment horizontal="center" vertical="center" wrapText="1"/>
    </xf>
    <xf numFmtId="0" fontId="0" fillId="0" borderId="3" xfId="0" applyFill="1" applyBorder="1"/>
    <xf numFmtId="0" fontId="0" fillId="0" borderId="0" xfId="0" applyFill="1"/>
    <xf numFmtId="0" fontId="54" fillId="0" borderId="5" xfId="0" applyFont="1" applyBorder="1" applyAlignment="1">
      <alignment horizontal="center" vertical="center" wrapText="1"/>
    </xf>
    <xf numFmtId="0" fontId="54" fillId="0" borderId="11" xfId="0" applyFont="1" applyBorder="1" applyAlignment="1">
      <alignment horizontal="center" vertical="center" wrapText="1"/>
    </xf>
    <xf numFmtId="164" fontId="52" fillId="0" borderId="3" xfId="1" applyFont="1" applyFill="1" applyBorder="1" applyAlignment="1">
      <alignment vertical="center" wrapText="1"/>
    </xf>
    <xf numFmtId="0" fontId="0" fillId="15" borderId="5" xfId="0" applyFill="1" applyBorder="1"/>
    <xf numFmtId="164" fontId="10" fillId="2" borderId="11" xfId="1" applyFont="1" applyFill="1" applyBorder="1" applyAlignment="1">
      <alignment horizontal="right" vertical="center" wrapText="1"/>
    </xf>
    <xf numFmtId="164" fontId="10" fillId="2" borderId="11" xfId="0" applyNumberFormat="1" applyFont="1" applyFill="1" applyBorder="1" applyAlignment="1">
      <alignment vertical="center"/>
    </xf>
    <xf numFmtId="0" fontId="0" fillId="0" borderId="11" xfId="0" applyBorder="1" applyAlignment="1">
      <alignment vertical="center"/>
    </xf>
    <xf numFmtId="0" fontId="0" fillId="0" borderId="11" xfId="0" applyBorder="1" applyAlignment="1">
      <alignment vertical="center" wrapText="1"/>
    </xf>
    <xf numFmtId="0" fontId="0" fillId="0" borderId="0" xfId="0" applyBorder="1"/>
    <xf numFmtId="0" fontId="52" fillId="6"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6" borderId="0" xfId="0" applyFont="1" applyFill="1" applyBorder="1" applyAlignment="1">
      <alignment horizontal="center" vertical="center" wrapText="1"/>
    </xf>
    <xf numFmtId="0" fontId="52" fillId="6" borderId="0" xfId="0" applyFont="1" applyFill="1" applyBorder="1" applyAlignment="1">
      <alignment vertical="center" wrapText="1"/>
    </xf>
    <xf numFmtId="0" fontId="54" fillId="6" borderId="0" xfId="0" applyFont="1" applyFill="1" applyBorder="1" applyAlignment="1">
      <alignment horizontal="left" vertical="center" wrapText="1"/>
    </xf>
    <xf numFmtId="0" fontId="52" fillId="6" borderId="0" xfId="0" applyFont="1" applyFill="1" applyBorder="1" applyAlignment="1">
      <alignment horizontal="center" vertical="center"/>
    </xf>
    <xf numFmtId="164" fontId="52" fillId="6" borderId="0" xfId="1" applyFont="1" applyFill="1" applyBorder="1" applyAlignment="1">
      <alignment vertical="center" wrapText="1"/>
    </xf>
    <xf numFmtId="164" fontId="52" fillId="6" borderId="0" xfId="1" applyFont="1" applyFill="1" applyBorder="1" applyAlignment="1">
      <alignment vertical="center"/>
    </xf>
    <xf numFmtId="164" fontId="10" fillId="6" borderId="0" xfId="0" applyNumberFormat="1" applyFont="1" applyFill="1" applyBorder="1" applyAlignment="1">
      <alignment vertical="center"/>
    </xf>
    <xf numFmtId="0" fontId="51" fillId="6" borderId="0" xfId="0" applyFont="1" applyFill="1" applyBorder="1" applyAlignment="1">
      <alignment horizontal="center" vertical="center" wrapText="1"/>
    </xf>
    <xf numFmtId="0" fontId="51" fillId="6" borderId="0" xfId="0" applyFont="1" applyFill="1" applyBorder="1" applyAlignment="1">
      <alignment vertical="center" wrapText="1"/>
    </xf>
    <xf numFmtId="0" fontId="51" fillId="6" borderId="0" xfId="0" applyFont="1" applyFill="1" applyBorder="1" applyAlignment="1">
      <alignment horizontal="left" vertical="center" wrapText="1"/>
    </xf>
    <xf numFmtId="0" fontId="51" fillId="6" borderId="0" xfId="0" applyFont="1" applyFill="1" applyBorder="1" applyAlignment="1">
      <alignment horizontal="center" vertical="center"/>
    </xf>
    <xf numFmtId="167" fontId="51" fillId="6" borderId="0" xfId="1" applyNumberFormat="1" applyFont="1" applyFill="1" applyBorder="1" applyAlignment="1">
      <alignment horizontal="right" vertical="center"/>
    </xf>
    <xf numFmtId="1" fontId="51" fillId="6" borderId="0" xfId="0" applyNumberFormat="1" applyFont="1" applyFill="1" applyBorder="1" applyAlignment="1">
      <alignment horizontal="center" vertical="center"/>
    </xf>
    <xf numFmtId="164" fontId="51" fillId="6" borderId="0" xfId="1" applyFont="1" applyFill="1" applyBorder="1" applyAlignment="1">
      <alignment vertical="center"/>
    </xf>
    <xf numFmtId="164" fontId="50" fillId="6" borderId="0" xfId="0"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1" fillId="0" borderId="0" xfId="13"/>
    <xf numFmtId="0" fontId="1" fillId="0" borderId="3" xfId="13" applyBorder="1"/>
    <xf numFmtId="0" fontId="64" fillId="0" borderId="3" xfId="13" applyFont="1" applyBorder="1"/>
    <xf numFmtId="0" fontId="65" fillId="0" borderId="3" xfId="13" applyFont="1" applyBorder="1" applyAlignment="1">
      <alignment horizontal="left"/>
    </xf>
    <xf numFmtId="0" fontId="1" fillId="0" borderId="0" xfId="13" quotePrefix="1"/>
    <xf numFmtId="0" fontId="65" fillId="16" borderId="22" xfId="13" applyFont="1" applyFill="1" applyBorder="1"/>
    <xf numFmtId="0" fontId="65" fillId="16" borderId="23" xfId="13" applyFont="1" applyFill="1" applyBorder="1"/>
    <xf numFmtId="0" fontId="65" fillId="16" borderId="3" xfId="13" applyFont="1" applyFill="1" applyBorder="1"/>
    <xf numFmtId="0" fontId="65" fillId="0" borderId="5" xfId="13" applyFont="1" applyBorder="1"/>
    <xf numFmtId="0" fontId="67" fillId="0" borderId="24" xfId="13" applyFont="1" applyBorder="1" applyAlignment="1">
      <alignment horizontal="center" wrapText="1"/>
    </xf>
    <xf numFmtId="0" fontId="68" fillId="0" borderId="5" xfId="13" applyFont="1" applyBorder="1"/>
    <xf numFmtId="0" fontId="65" fillId="16" borderId="25" xfId="13" applyFont="1" applyFill="1" applyBorder="1"/>
    <xf numFmtId="44" fontId="1" fillId="0" borderId="0" xfId="13" applyNumberFormat="1"/>
    <xf numFmtId="0" fontId="66" fillId="4" borderId="3" xfId="13" applyFont="1" applyFill="1" applyBorder="1" applyAlignment="1">
      <alignment horizontal="left"/>
    </xf>
    <xf numFmtId="0" fontId="18" fillId="4" borderId="3" xfId="13" applyFont="1" applyFill="1" applyBorder="1"/>
    <xf numFmtId="8" fontId="65" fillId="4" borderId="3" xfId="13" applyNumberFormat="1" applyFont="1" applyFill="1" applyBorder="1" applyAlignment="1">
      <alignment horizontal="left"/>
    </xf>
    <xf numFmtId="0" fontId="18" fillId="4" borderId="3" xfId="13" applyFont="1" applyFill="1" applyBorder="1" applyAlignment="1">
      <alignment horizontal="left"/>
    </xf>
    <xf numFmtId="0" fontId="45" fillId="4" borderId="3" xfId="13" applyFont="1" applyFill="1" applyBorder="1" applyAlignment="1">
      <alignment horizontal="left"/>
    </xf>
    <xf numFmtId="0" fontId="64" fillId="4" borderId="3" xfId="13" applyFont="1" applyFill="1" applyBorder="1"/>
    <xf numFmtId="44" fontId="65" fillId="4" borderId="3" xfId="13" applyNumberFormat="1" applyFont="1" applyFill="1" applyBorder="1" applyAlignment="1">
      <alignment horizontal="left"/>
    </xf>
    <xf numFmtId="0" fontId="45" fillId="5" borderId="3" xfId="13" applyFont="1" applyFill="1" applyBorder="1" applyAlignment="1">
      <alignment horizontal="left"/>
    </xf>
    <xf numFmtId="0" fontId="64" fillId="5" borderId="3" xfId="13" applyFont="1" applyFill="1" applyBorder="1" applyAlignment="1">
      <alignment horizontal="left"/>
    </xf>
    <xf numFmtId="0" fontId="64" fillId="5" borderId="3" xfId="13" applyFont="1" applyFill="1" applyBorder="1"/>
    <xf numFmtId="8" fontId="65" fillId="5" borderId="3" xfId="13" applyNumberFormat="1" applyFont="1" applyFill="1" applyBorder="1" applyAlignment="1">
      <alignment horizontal="left"/>
    </xf>
    <xf numFmtId="0" fontId="18" fillId="5" borderId="3" xfId="13" applyFont="1" applyFill="1" applyBorder="1" applyAlignment="1">
      <alignment horizontal="left"/>
    </xf>
    <xf numFmtId="164" fontId="65" fillId="4" borderId="3" xfId="1" applyFont="1" applyFill="1" applyBorder="1" applyAlignment="1">
      <alignment horizontal="left"/>
    </xf>
    <xf numFmtId="164" fontId="65" fillId="5" borderId="3" xfId="1" applyFont="1" applyFill="1" applyBorder="1" applyAlignment="1">
      <alignment horizontal="left"/>
    </xf>
    <xf numFmtId="164" fontId="65" fillId="0" borderId="3" xfId="1" applyFont="1" applyBorder="1" applyAlignment="1">
      <alignment horizontal="left"/>
    </xf>
    <xf numFmtId="164" fontId="69" fillId="0" borderId="3" xfId="1" applyFont="1" applyBorder="1"/>
    <xf numFmtId="0" fontId="45" fillId="14" borderId="3" xfId="13" applyFont="1" applyFill="1" applyBorder="1" applyAlignment="1">
      <alignment horizontal="left"/>
    </xf>
    <xf numFmtId="0" fontId="64" fillId="14" borderId="3" xfId="13" applyFont="1" applyFill="1" applyBorder="1" applyAlignment="1">
      <alignment horizontal="left"/>
    </xf>
    <xf numFmtId="0" fontId="64" fillId="14" borderId="3" xfId="13" applyFont="1" applyFill="1" applyBorder="1"/>
    <xf numFmtId="164" fontId="65" fillId="14" borderId="3" xfId="1" applyFont="1" applyFill="1" applyBorder="1" applyAlignment="1">
      <alignment horizontal="left"/>
    </xf>
    <xf numFmtId="0" fontId="69" fillId="0" borderId="3" xfId="13" applyFont="1" applyBorder="1" applyAlignment="1">
      <alignment horizontal="left"/>
    </xf>
    <xf numFmtId="44" fontId="65" fillId="0" borderId="3" xfId="13" applyNumberFormat="1" applyFont="1" applyFill="1" applyBorder="1" applyAlignment="1">
      <alignment horizontal="left"/>
    </xf>
    <xf numFmtId="164" fontId="63" fillId="4" borderId="3" xfId="1" applyFont="1" applyFill="1" applyBorder="1" applyAlignment="1">
      <alignment horizontal="right"/>
    </xf>
    <xf numFmtId="8" fontId="63" fillId="4" borderId="3" xfId="13" applyNumberFormat="1" applyFont="1" applyFill="1" applyBorder="1" applyAlignment="1">
      <alignment horizontal="right"/>
    </xf>
    <xf numFmtId="0" fontId="65" fillId="4" borderId="3" xfId="13" applyFont="1" applyFill="1" applyBorder="1" applyAlignment="1">
      <alignment horizontal="left"/>
    </xf>
    <xf numFmtId="44" fontId="65" fillId="14" borderId="3" xfId="13" applyNumberFormat="1" applyFont="1" applyFill="1" applyBorder="1" applyAlignment="1">
      <alignment horizontal="left"/>
    </xf>
    <xf numFmtId="44" fontId="65" fillId="5" borderId="3" xfId="13" applyNumberFormat="1" applyFont="1" applyFill="1" applyBorder="1" applyAlignment="1">
      <alignment horizontal="left"/>
    </xf>
    <xf numFmtId="0" fontId="42" fillId="18" borderId="0" xfId="13" applyFont="1" applyFill="1"/>
    <xf numFmtId="0" fontId="45" fillId="18" borderId="0" xfId="13" applyFont="1" applyFill="1"/>
    <xf numFmtId="0" fontId="42" fillId="18" borderId="0" xfId="13" applyFont="1" applyFill="1" applyAlignment="1">
      <alignment horizontal="right"/>
    </xf>
    <xf numFmtId="14" fontId="42" fillId="18" borderId="0" xfId="13" applyNumberFormat="1" applyFont="1" applyFill="1" applyAlignment="1">
      <alignment horizontal="left"/>
    </xf>
    <xf numFmtId="0" fontId="45" fillId="19" borderId="0" xfId="13" applyFont="1" applyFill="1" applyAlignment="1">
      <alignment horizontal="center" wrapText="1"/>
    </xf>
    <xf numFmtId="0" fontId="45" fillId="19" borderId="0" xfId="13" applyFont="1" applyFill="1" applyAlignment="1">
      <alignment wrapText="1"/>
    </xf>
    <xf numFmtId="0" fontId="42" fillId="0" borderId="3" xfId="13" applyFont="1" applyBorder="1"/>
    <xf numFmtId="8" fontId="42" fillId="17" borderId="3" xfId="13" applyNumberFormat="1" applyFont="1" applyFill="1" applyBorder="1"/>
    <xf numFmtId="44" fontId="42" fillId="17" borderId="3" xfId="6" applyFont="1" applyFill="1" applyBorder="1"/>
    <xf numFmtId="44" fontId="42" fillId="0" borderId="3" xfId="6" applyFont="1" applyFill="1" applyBorder="1"/>
    <xf numFmtId="44" fontId="42" fillId="0" borderId="3" xfId="6" applyFont="1" applyBorder="1"/>
    <xf numFmtId="8" fontId="42" fillId="0" borderId="3" xfId="13" applyNumberFormat="1" applyFont="1" applyBorder="1"/>
    <xf numFmtId="0" fontId="42" fillId="0" borderId="7" xfId="13" applyFont="1" applyBorder="1"/>
    <xf numFmtId="8" fontId="42" fillId="4" borderId="7" xfId="13" applyNumberFormat="1" applyFont="1" applyFill="1" applyBorder="1"/>
    <xf numFmtId="8" fontId="42" fillId="5" borderId="7" xfId="13" applyNumberFormat="1" applyFont="1" applyFill="1" applyBorder="1"/>
    <xf numFmtId="8" fontId="42" fillId="0" borderId="7" xfId="13" applyNumberFormat="1" applyFont="1" applyBorder="1"/>
    <xf numFmtId="8" fontId="42" fillId="0" borderId="26" xfId="13" applyNumberFormat="1" applyFont="1" applyBorder="1"/>
    <xf numFmtId="8" fontId="42" fillId="5" borderId="27" xfId="13" applyNumberFormat="1" applyFont="1" applyFill="1" applyBorder="1"/>
    <xf numFmtId="8" fontId="42" fillId="0" borderId="28" xfId="13" applyNumberFormat="1" applyFont="1" applyBorder="1"/>
    <xf numFmtId="0" fontId="42" fillId="11" borderId="7" xfId="13" applyFont="1" applyFill="1" applyBorder="1"/>
    <xf numFmtId="0" fontId="42" fillId="5" borderId="7" xfId="13" applyFont="1" applyFill="1" applyBorder="1"/>
    <xf numFmtId="0" fontId="70" fillId="0" borderId="7" xfId="13" applyFont="1" applyBorder="1"/>
    <xf numFmtId="0" fontId="45" fillId="9" borderId="29" xfId="13" applyFont="1" applyFill="1" applyBorder="1"/>
    <xf numFmtId="0" fontId="42" fillId="11" borderId="29" xfId="13" applyFont="1" applyFill="1" applyBorder="1"/>
    <xf numFmtId="8" fontId="45" fillId="9" borderId="29" xfId="13" applyNumberFormat="1" applyFont="1" applyFill="1" applyBorder="1"/>
    <xf numFmtId="8" fontId="42" fillId="9" borderId="29" xfId="13" applyNumberFormat="1" applyFont="1" applyFill="1" applyBorder="1"/>
    <xf numFmtId="0" fontId="45" fillId="4" borderId="0" xfId="13" applyFont="1" applyFill="1"/>
    <xf numFmtId="0" fontId="42" fillId="4" borderId="0" xfId="13" applyFont="1" applyFill="1"/>
    <xf numFmtId="8" fontId="45" fillId="4" borderId="0" xfId="13" applyNumberFormat="1" applyFont="1" applyFill="1"/>
    <xf numFmtId="8" fontId="42" fillId="4" borderId="0" xfId="13" applyNumberFormat="1" applyFont="1" applyFill="1"/>
    <xf numFmtId="0" fontId="42" fillId="11" borderId="30" xfId="13" applyFont="1" applyFill="1" applyBorder="1"/>
    <xf numFmtId="8" fontId="42" fillId="9" borderId="30" xfId="13" applyNumberFormat="1" applyFont="1" applyFill="1" applyBorder="1"/>
    <xf numFmtId="6" fontId="42" fillId="9" borderId="30" xfId="13" applyNumberFormat="1" applyFont="1" applyFill="1" applyBorder="1"/>
    <xf numFmtId="0" fontId="40" fillId="0" borderId="3" xfId="13" applyFont="1" applyBorder="1"/>
    <xf numFmtId="165" fontId="40" fillId="17" borderId="3" xfId="6" applyNumberFormat="1" applyFont="1" applyFill="1" applyBorder="1"/>
    <xf numFmtId="44" fontId="40" fillId="17" borderId="3" xfId="6" applyFont="1" applyFill="1" applyBorder="1"/>
    <xf numFmtId="44" fontId="40" fillId="0" borderId="3" xfId="6" applyFont="1" applyBorder="1"/>
    <xf numFmtId="165" fontId="42" fillId="17" borderId="3" xfId="6" applyNumberFormat="1" applyFont="1" applyFill="1" applyBorder="1"/>
    <xf numFmtId="165" fontId="45" fillId="11" borderId="29" xfId="13" applyNumberFormat="1" applyFont="1" applyFill="1" applyBorder="1"/>
    <xf numFmtId="165" fontId="45" fillId="4" borderId="0" xfId="13" applyNumberFormat="1" applyFont="1" applyFill="1"/>
    <xf numFmtId="165" fontId="42" fillId="4" borderId="0" xfId="13" applyNumberFormat="1" applyFont="1" applyFill="1"/>
    <xf numFmtId="8" fontId="42" fillId="0" borderId="0" xfId="13" applyNumberFormat="1" applyFont="1"/>
    <xf numFmtId="0" fontId="42" fillId="0" borderId="0" xfId="13" applyFont="1"/>
    <xf numFmtId="0" fontId="45" fillId="0" borderId="0" xfId="13" applyFont="1" applyAlignment="1">
      <alignment wrapText="1"/>
    </xf>
    <xf numFmtId="0" fontId="69" fillId="0" borderId="0" xfId="13" applyFont="1"/>
    <xf numFmtId="0" fontId="45" fillId="0" borderId="0" xfId="13" applyFont="1"/>
    <xf numFmtId="0" fontId="45" fillId="20" borderId="0" xfId="13" applyFont="1" applyFill="1"/>
    <xf numFmtId="0" fontId="42" fillId="20" borderId="0" xfId="13" applyFont="1" applyFill="1"/>
    <xf numFmtId="0" fontId="42" fillId="5" borderId="0" xfId="13" applyFont="1" applyFill="1"/>
    <xf numFmtId="167" fontId="71" fillId="5" borderId="0" xfId="6" applyNumberFormat="1" applyFont="1" applyFill="1"/>
    <xf numFmtId="0" fontId="72" fillId="0" borderId="0" xfId="13" applyFont="1"/>
    <xf numFmtId="167" fontId="1" fillId="0" borderId="0" xfId="13" applyNumberFormat="1"/>
    <xf numFmtId="8" fontId="1" fillId="0" borderId="0" xfId="13" applyNumberFormat="1"/>
    <xf numFmtId="0" fontId="42" fillId="7" borderId="0" xfId="13" applyFont="1" applyFill="1"/>
    <xf numFmtId="167" fontId="71" fillId="7" borderId="0" xfId="6" applyNumberFormat="1" applyFont="1" applyFill="1"/>
    <xf numFmtId="164" fontId="72" fillId="0" borderId="0" xfId="1" applyFont="1"/>
    <xf numFmtId="164" fontId="1" fillId="0" borderId="0" xfId="1" applyFont="1"/>
    <xf numFmtId="0" fontId="1" fillId="4" borderId="3" xfId="13" applyFill="1" applyBorder="1"/>
    <xf numFmtId="164" fontId="69" fillId="4" borderId="3" xfId="1" applyFont="1" applyFill="1" applyBorder="1"/>
    <xf numFmtId="0" fontId="45" fillId="13" borderId="3" xfId="13" applyFont="1" applyFill="1" applyBorder="1" applyAlignment="1">
      <alignment horizontal="left"/>
    </xf>
    <xf numFmtId="0" fontId="18" fillId="13" borderId="3" xfId="13" applyFont="1" applyFill="1" applyBorder="1" applyAlignment="1">
      <alignment horizontal="left"/>
    </xf>
    <xf numFmtId="0" fontId="64" fillId="13" borderId="3" xfId="13" applyFont="1" applyFill="1" applyBorder="1"/>
    <xf numFmtId="164" fontId="65" fillId="13" borderId="3" xfId="1" applyFont="1" applyFill="1" applyBorder="1" applyAlignment="1">
      <alignment horizontal="left"/>
    </xf>
    <xf numFmtId="0" fontId="64" fillId="13" borderId="3" xfId="13" applyFont="1" applyFill="1" applyBorder="1" applyAlignment="1">
      <alignment horizontal="left"/>
    </xf>
    <xf numFmtId="0" fontId="73" fillId="0" borderId="4" xfId="19" applyFont="1" applyBorder="1" applyAlignment="1">
      <alignment horizontal="center"/>
    </xf>
    <xf numFmtId="0" fontId="74" fillId="0" borderId="31" xfId="19" applyFont="1" applyBorder="1" applyAlignment="1">
      <alignment horizontal="left"/>
    </xf>
    <xf numFmtId="0" fontId="23" fillId="21" borderId="2" xfId="19" applyFill="1" applyBorder="1"/>
    <xf numFmtId="0" fontId="66" fillId="0" borderId="32" xfId="19" applyFont="1" applyBorder="1" applyAlignment="1">
      <alignment horizontal="center"/>
    </xf>
    <xf numFmtId="0" fontId="23" fillId="22" borderId="2" xfId="19" applyFill="1" applyBorder="1" applyAlignment="1">
      <alignment horizontal="centerContinuous"/>
    </xf>
    <xf numFmtId="0" fontId="23" fillId="22" borderId="21" xfId="19" applyFill="1" applyBorder="1" applyAlignment="1">
      <alignment horizontal="centerContinuous"/>
    </xf>
    <xf numFmtId="0" fontId="23" fillId="0" borderId="0" xfId="19"/>
    <xf numFmtId="0" fontId="73" fillId="0" borderId="0" xfId="19" applyFont="1" applyAlignment="1">
      <alignment horizontal="center"/>
    </xf>
    <xf numFmtId="0" fontId="73" fillId="0" borderId="33" xfId="19" applyFont="1" applyBorder="1" applyAlignment="1">
      <alignment horizontal="center"/>
    </xf>
    <xf numFmtId="0" fontId="75" fillId="23" borderId="34" xfId="19" applyFont="1" applyFill="1" applyBorder="1" applyAlignment="1">
      <alignment horizontal="left"/>
    </xf>
    <xf numFmtId="0" fontId="23" fillId="21" borderId="35" xfId="19" applyFont="1" applyFill="1" applyBorder="1"/>
    <xf numFmtId="0" fontId="76" fillId="23" borderId="36" xfId="19" applyFont="1" applyFill="1" applyBorder="1" applyAlignment="1">
      <alignment horizontal="center"/>
    </xf>
    <xf numFmtId="0" fontId="77" fillId="22" borderId="35" xfId="19" applyFont="1" applyFill="1" applyBorder="1" applyAlignment="1">
      <alignment horizontal="centerContinuous"/>
    </xf>
    <xf numFmtId="0" fontId="23" fillId="22" borderId="20" xfId="19" applyFill="1" applyBorder="1" applyAlignment="1">
      <alignment horizontal="centerContinuous"/>
    </xf>
    <xf numFmtId="0" fontId="78" fillId="0" borderId="34" xfId="19" applyFont="1" applyBorder="1" applyAlignment="1">
      <alignment horizontal="left"/>
    </xf>
    <xf numFmtId="0" fontId="79" fillId="0" borderId="36" xfId="19" applyFont="1" applyBorder="1" applyAlignment="1">
      <alignment horizontal="center"/>
    </xf>
    <xf numFmtId="0" fontId="80" fillId="22" borderId="35" xfId="19" applyFont="1" applyFill="1" applyBorder="1" applyAlignment="1">
      <alignment horizontal="centerContinuous"/>
    </xf>
    <xf numFmtId="49" fontId="79" fillId="0" borderId="36" xfId="19" applyNumberFormat="1" applyFont="1" applyBorder="1" applyAlignment="1">
      <alignment horizontal="center"/>
    </xf>
    <xf numFmtId="0" fontId="66" fillId="0" borderId="33" xfId="19" applyFont="1" applyBorder="1" applyAlignment="1">
      <alignment horizontal="center"/>
    </xf>
    <xf numFmtId="0" fontId="66" fillId="0" borderId="34" xfId="19" applyFont="1" applyBorder="1" applyAlignment="1">
      <alignment horizontal="center"/>
    </xf>
    <xf numFmtId="0" fontId="23" fillId="21" borderId="35" xfId="19" applyFill="1" applyBorder="1"/>
    <xf numFmtId="0" fontId="73" fillId="0" borderId="36" xfId="19" applyFont="1" applyBorder="1" applyAlignment="1">
      <alignment horizontal="center"/>
    </xf>
    <xf numFmtId="0" fontId="81" fillId="22" borderId="35" xfId="19" applyFont="1" applyFill="1" applyBorder="1" applyAlignment="1">
      <alignment horizontal="centerContinuous"/>
    </xf>
    <xf numFmtId="0" fontId="82" fillId="21" borderId="33" xfId="19" applyFont="1" applyFill="1" applyBorder="1"/>
    <xf numFmtId="0" fontId="82" fillId="21" borderId="34" xfId="19" applyFont="1" applyFill="1" applyBorder="1"/>
    <xf numFmtId="0" fontId="82" fillId="21" borderId="35" xfId="19" applyFont="1" applyFill="1" applyBorder="1"/>
    <xf numFmtId="0" fontId="82" fillId="21" borderId="36" xfId="19" applyFont="1" applyFill="1" applyBorder="1"/>
    <xf numFmtId="0" fontId="82" fillId="21" borderId="35" xfId="19" applyFont="1" applyFill="1" applyBorder="1" applyAlignment="1">
      <alignment horizontal="centerContinuous"/>
    </xf>
    <xf numFmtId="0" fontId="23" fillId="21" borderId="20" xfId="19" applyFill="1" applyBorder="1" applyAlignment="1">
      <alignment horizontal="centerContinuous"/>
    </xf>
    <xf numFmtId="0" fontId="82" fillId="24" borderId="0" xfId="19" applyFont="1" applyFill="1"/>
    <xf numFmtId="0" fontId="66" fillId="0" borderId="34" xfId="19" applyFont="1" applyBorder="1"/>
    <xf numFmtId="42" fontId="23" fillId="0" borderId="36" xfId="11" applyNumberFormat="1" applyBorder="1"/>
    <xf numFmtId="42" fontId="83" fillId="22" borderId="35" xfId="19" applyNumberFormat="1" applyFont="1" applyFill="1" applyBorder="1" applyAlignment="1">
      <alignment horizontal="center"/>
    </xf>
    <xf numFmtId="42" fontId="83" fillId="22" borderId="20" xfId="19" applyNumberFormat="1" applyFont="1" applyFill="1" applyBorder="1" applyAlignment="1">
      <alignment horizontal="center"/>
    </xf>
    <xf numFmtId="0" fontId="66" fillId="12" borderId="33" xfId="19" applyFont="1" applyFill="1" applyBorder="1" applyAlignment="1">
      <alignment horizontal="center"/>
    </xf>
    <xf numFmtId="0" fontId="66" fillId="12" borderId="34" xfId="19" applyFont="1" applyFill="1" applyBorder="1"/>
    <xf numFmtId="42" fontId="23" fillId="12" borderId="37" xfId="11" applyNumberFormat="1" applyFill="1" applyBorder="1"/>
    <xf numFmtId="42" fontId="83" fillId="22" borderId="38" xfId="19" applyNumberFormat="1" applyFont="1" applyFill="1" applyBorder="1" applyAlignment="1">
      <alignment horizontal="center"/>
    </xf>
    <xf numFmtId="42" fontId="83" fillId="22" borderId="39" xfId="19" applyNumberFormat="1" applyFont="1" applyFill="1" applyBorder="1" applyAlignment="1">
      <alignment horizontal="center"/>
    </xf>
    <xf numFmtId="0" fontId="23" fillId="0" borderId="33" xfId="19" applyBorder="1"/>
    <xf numFmtId="0" fontId="66" fillId="0" borderId="40" xfId="19" applyFont="1" applyBorder="1" applyAlignment="1">
      <alignment horizontal="right"/>
    </xf>
    <xf numFmtId="42" fontId="79" fillId="0" borderId="36" xfId="11" applyNumberFormat="1" applyFont="1" applyBorder="1"/>
    <xf numFmtId="42" fontId="83" fillId="25" borderId="35" xfId="19" applyNumberFormat="1" applyFont="1" applyFill="1" applyBorder="1" applyAlignment="1">
      <alignment horizontal="center"/>
    </xf>
    <xf numFmtId="42" fontId="83" fillId="25" borderId="20" xfId="19" applyNumberFormat="1" applyFont="1" applyFill="1" applyBorder="1" applyAlignment="1">
      <alignment horizontal="center"/>
    </xf>
    <xf numFmtId="0" fontId="23" fillId="0" borderId="6" xfId="19" applyBorder="1"/>
    <xf numFmtId="0" fontId="66" fillId="26" borderId="40" xfId="19" applyFont="1" applyFill="1" applyBorder="1" applyAlignment="1">
      <alignment horizontal="right"/>
    </xf>
    <xf numFmtId="0" fontId="23" fillId="26" borderId="41" xfId="19" applyFill="1" applyBorder="1"/>
    <xf numFmtId="42" fontId="84" fillId="26" borderId="42" xfId="11" applyNumberFormat="1" applyFont="1" applyFill="1" applyBorder="1"/>
    <xf numFmtId="42" fontId="83" fillId="26" borderId="41" xfId="19" applyNumberFormat="1" applyFont="1" applyFill="1" applyBorder="1" applyAlignment="1">
      <alignment horizontal="center"/>
    </xf>
    <xf numFmtId="42" fontId="83" fillId="26" borderId="16" xfId="19" applyNumberFormat="1" applyFont="1" applyFill="1" applyBorder="1" applyAlignment="1">
      <alignment horizontal="center"/>
    </xf>
    <xf numFmtId="0" fontId="23" fillId="0" borderId="38" xfId="19" applyBorder="1"/>
    <xf numFmtId="0" fontId="66" fillId="0" borderId="43" xfId="19" applyFont="1" applyBorder="1" applyAlignment="1">
      <alignment horizontal="right"/>
    </xf>
    <xf numFmtId="0" fontId="23" fillId="21" borderId="38" xfId="19" applyFill="1" applyBorder="1"/>
    <xf numFmtId="42" fontId="23" fillId="0" borderId="37" xfId="19" applyNumberFormat="1" applyBorder="1"/>
    <xf numFmtId="42" fontId="23" fillId="0" borderId="38" xfId="19" applyNumberFormat="1" applyBorder="1" applyAlignment="1">
      <alignment horizontal="center"/>
    </xf>
    <xf numFmtId="42" fontId="23" fillId="0" borderId="44" xfId="19" applyNumberFormat="1" applyBorder="1" applyAlignment="1">
      <alignment horizontal="center"/>
    </xf>
    <xf numFmtId="0" fontId="85" fillId="0" borderId="0" xfId="19" applyFont="1"/>
    <xf numFmtId="0" fontId="86" fillId="0" borderId="0" xfId="19" applyFont="1"/>
    <xf numFmtId="0" fontId="87" fillId="0" borderId="0" xfId="19" applyFont="1"/>
    <xf numFmtId="0" fontId="73" fillId="0" borderId="19" xfId="19" applyFont="1" applyBorder="1" applyAlignment="1">
      <alignment horizontal="center"/>
    </xf>
    <xf numFmtId="0" fontId="74" fillId="0" borderId="45" xfId="19" applyFont="1" applyBorder="1" applyAlignment="1">
      <alignment horizontal="left"/>
    </xf>
    <xf numFmtId="0" fontId="23" fillId="21" borderId="46" xfId="19" applyFill="1" applyBorder="1"/>
    <xf numFmtId="0" fontId="66" fillId="0" borderId="18" xfId="19" applyFont="1" applyBorder="1" applyAlignment="1">
      <alignment horizontal="center"/>
    </xf>
    <xf numFmtId="0" fontId="66" fillId="6" borderId="18" xfId="19" applyFont="1" applyFill="1" applyBorder="1" applyAlignment="1">
      <alignment horizontal="center"/>
    </xf>
    <xf numFmtId="0" fontId="88" fillId="0" borderId="18" xfId="19" applyFont="1" applyBorder="1" applyAlignment="1">
      <alignment horizontal="center"/>
    </xf>
    <xf numFmtId="0" fontId="89" fillId="0" borderId="18" xfId="19" applyFont="1" applyBorder="1" applyAlignment="1">
      <alignment horizontal="center"/>
    </xf>
    <xf numFmtId="0" fontId="23" fillId="22" borderId="19" xfId="19" applyFill="1" applyBorder="1" applyAlignment="1">
      <alignment horizontal="centerContinuous"/>
    </xf>
    <xf numFmtId="0" fontId="23" fillId="22" borderId="45" xfId="19" applyFill="1" applyBorder="1" applyAlignment="1">
      <alignment horizontal="centerContinuous"/>
    </xf>
    <xf numFmtId="0" fontId="73" fillId="0" borderId="35" xfId="19" applyFont="1" applyBorder="1" applyAlignment="1">
      <alignment horizontal="center"/>
    </xf>
    <xf numFmtId="0" fontId="23" fillId="21" borderId="0" xfId="19" applyFont="1" applyFill="1"/>
    <xf numFmtId="0" fontId="90" fillId="23" borderId="36" xfId="19" applyFont="1" applyFill="1" applyBorder="1" applyAlignment="1">
      <alignment horizontal="center"/>
    </xf>
    <xf numFmtId="0" fontId="91" fillId="23" borderId="36" xfId="19" applyFont="1" applyFill="1" applyBorder="1" applyAlignment="1">
      <alignment horizontal="center"/>
    </xf>
    <xf numFmtId="0" fontId="23" fillId="22" borderId="34" xfId="19" applyFill="1" applyBorder="1" applyAlignment="1">
      <alignment horizontal="centerContinuous"/>
    </xf>
    <xf numFmtId="0" fontId="79" fillId="6" borderId="36" xfId="19" applyFont="1" applyFill="1" applyBorder="1" applyAlignment="1">
      <alignment horizontal="center"/>
    </xf>
    <xf numFmtId="0" fontId="92" fillId="0" borderId="36" xfId="19" applyFont="1" applyBorder="1" applyAlignment="1">
      <alignment horizontal="center"/>
    </xf>
    <xf numFmtId="0" fontId="93" fillId="0" borderId="36" xfId="19" applyFont="1" applyBorder="1" applyAlignment="1">
      <alignment horizontal="center"/>
    </xf>
    <xf numFmtId="49" fontId="79" fillId="6" borderId="36" xfId="19" applyNumberFormat="1" applyFont="1" applyFill="1" applyBorder="1" applyAlignment="1">
      <alignment horizontal="center"/>
    </xf>
    <xf numFmtId="49" fontId="92" fillId="0" borderId="36" xfId="19" applyNumberFormat="1" applyFont="1" applyBorder="1" applyAlignment="1">
      <alignment horizontal="center"/>
    </xf>
    <xf numFmtId="49" fontId="93" fillId="0" borderId="36" xfId="19" applyNumberFormat="1" applyFont="1" applyBorder="1" applyAlignment="1">
      <alignment horizontal="center"/>
    </xf>
    <xf numFmtId="0" fontId="66" fillId="0" borderId="35" xfId="19" applyFont="1" applyBorder="1" applyAlignment="1">
      <alignment horizontal="center"/>
    </xf>
    <xf numFmtId="0" fontId="23" fillId="21" borderId="0" xfId="19" applyFill="1"/>
    <xf numFmtId="0" fontId="73" fillId="6" borderId="36" xfId="19" applyFont="1" applyFill="1" applyBorder="1" applyAlignment="1">
      <alignment horizontal="center"/>
    </xf>
    <xf numFmtId="0" fontId="94" fillId="0" borderId="36" xfId="19" applyFont="1" applyBorder="1" applyAlignment="1">
      <alignment horizontal="center"/>
    </xf>
    <xf numFmtId="0" fontId="95" fillId="0" borderId="36" xfId="19" applyFont="1" applyBorder="1" applyAlignment="1">
      <alignment horizontal="center"/>
    </xf>
    <xf numFmtId="0" fontId="82" fillId="21" borderId="0" xfId="19" applyFont="1" applyFill="1"/>
    <xf numFmtId="0" fontId="88" fillId="21" borderId="36" xfId="19" applyFont="1" applyFill="1" applyBorder="1"/>
    <xf numFmtId="0" fontId="89" fillId="21" borderId="36" xfId="19" applyFont="1" applyFill="1" applyBorder="1"/>
    <xf numFmtId="0" fontId="23" fillId="21" borderId="34" xfId="19" applyFill="1" applyBorder="1" applyAlignment="1">
      <alignment horizontal="centerContinuous"/>
    </xf>
    <xf numFmtId="42" fontId="96" fillId="0" borderId="36" xfId="11" applyNumberFormat="1" applyFont="1" applyBorder="1"/>
    <xf numFmtId="42" fontId="87" fillId="0" borderId="36" xfId="11" applyNumberFormat="1" applyFont="1" applyBorder="1"/>
    <xf numFmtId="42" fontId="83" fillId="22" borderId="34" xfId="19" applyNumberFormat="1" applyFont="1" applyFill="1" applyBorder="1" applyAlignment="1">
      <alignment horizontal="center"/>
    </xf>
    <xf numFmtId="0" fontId="66" fillId="12" borderId="35" xfId="19" applyFont="1" applyFill="1" applyBorder="1" applyAlignment="1">
      <alignment horizontal="center"/>
    </xf>
    <xf numFmtId="42" fontId="96" fillId="12" borderId="37" xfId="11" applyNumberFormat="1" applyFont="1" applyFill="1" applyBorder="1"/>
    <xf numFmtId="42" fontId="87" fillId="12" borderId="37" xfId="11" applyNumberFormat="1" applyFont="1" applyFill="1" applyBorder="1"/>
    <xf numFmtId="42" fontId="83" fillId="22" borderId="44" xfId="19" applyNumberFormat="1" applyFont="1" applyFill="1" applyBorder="1" applyAlignment="1">
      <alignment horizontal="center"/>
    </xf>
    <xf numFmtId="0" fontId="23" fillId="0" borderId="35" xfId="19" applyBorder="1"/>
    <xf numFmtId="42" fontId="92" fillId="0" borderId="36" xfId="11" applyNumberFormat="1" applyFont="1" applyBorder="1"/>
    <xf numFmtId="42" fontId="93" fillId="0" borderId="36" xfId="11" applyNumberFormat="1" applyFont="1" applyBorder="1"/>
    <xf numFmtId="42" fontId="83" fillId="25" borderId="34" xfId="19" applyNumberFormat="1" applyFont="1" applyFill="1" applyBorder="1" applyAlignment="1">
      <alignment horizontal="center"/>
    </xf>
    <xf numFmtId="0" fontId="23" fillId="26" borderId="35" xfId="19" applyFill="1" applyBorder="1"/>
    <xf numFmtId="42" fontId="84" fillId="26" borderId="36" xfId="11" applyNumberFormat="1" applyFont="1" applyFill="1" applyBorder="1"/>
    <xf numFmtId="42" fontId="97" fillId="26" borderId="36" xfId="11" applyNumberFormat="1" applyFont="1" applyFill="1" applyBorder="1"/>
    <xf numFmtId="42" fontId="86" fillId="26" borderId="36" xfId="11" applyNumberFormat="1" applyFont="1" applyFill="1" applyBorder="1"/>
    <xf numFmtId="42" fontId="83" fillId="26" borderId="35" xfId="19" applyNumberFormat="1" applyFont="1" applyFill="1" applyBorder="1" applyAlignment="1">
      <alignment horizontal="center"/>
    </xf>
    <xf numFmtId="42" fontId="83" fillId="26" borderId="34" xfId="19" applyNumberFormat="1" applyFont="1" applyFill="1" applyBorder="1" applyAlignment="1">
      <alignment horizontal="center"/>
    </xf>
    <xf numFmtId="0" fontId="66" fillId="0" borderId="47" xfId="19" applyFont="1" applyBorder="1" applyAlignment="1">
      <alignment horizontal="right"/>
    </xf>
    <xf numFmtId="42" fontId="96" fillId="0" borderId="37" xfId="19" applyNumberFormat="1" applyFont="1" applyBorder="1"/>
    <xf numFmtId="42" fontId="87" fillId="0" borderId="37" xfId="19" applyNumberFormat="1" applyFont="1" applyBorder="1"/>
    <xf numFmtId="0" fontId="96" fillId="0" borderId="0" xfId="19" applyFont="1"/>
    <xf numFmtId="0" fontId="23" fillId="24" borderId="0" xfId="19" applyFill="1"/>
    <xf numFmtId="44" fontId="98" fillId="0" borderId="0" xfId="11" applyFont="1"/>
    <xf numFmtId="0" fontId="23" fillId="21" borderId="19" xfId="19" applyFill="1" applyBorder="1"/>
    <xf numFmtId="0" fontId="76" fillId="0" borderId="36" xfId="19" applyFont="1" applyBorder="1" applyAlignment="1">
      <alignment horizontal="center"/>
    </xf>
    <xf numFmtId="42" fontId="0" fillId="0" borderId="36" xfId="11" applyNumberFormat="1" applyFont="1" applyBorder="1"/>
    <xf numFmtId="42" fontId="0" fillId="0" borderId="36" xfId="11" applyNumberFormat="1" applyFont="1" applyBorder="1" applyAlignment="1">
      <alignment wrapText="1"/>
    </xf>
    <xf numFmtId="168" fontId="0" fillId="12" borderId="36" xfId="11" applyNumberFormat="1" applyFont="1" applyFill="1" applyBorder="1"/>
    <xf numFmtId="0" fontId="23" fillId="0" borderId="48" xfId="19" applyBorder="1"/>
    <xf numFmtId="0" fontId="66" fillId="0" borderId="49" xfId="19" applyFont="1" applyBorder="1" applyAlignment="1">
      <alignment horizontal="right"/>
    </xf>
    <xf numFmtId="0" fontId="23" fillId="21" borderId="50" xfId="19" applyFill="1" applyBorder="1"/>
    <xf numFmtId="42" fontId="79" fillId="0" borderId="51" xfId="11" applyNumberFormat="1" applyFont="1" applyBorder="1"/>
    <xf numFmtId="42" fontId="79" fillId="0" borderId="52" xfId="11" applyNumberFormat="1" applyFont="1" applyBorder="1"/>
    <xf numFmtId="42" fontId="79" fillId="0" borderId="12" xfId="11" applyNumberFormat="1" applyFont="1" applyBorder="1"/>
    <xf numFmtId="42" fontId="79" fillId="0" borderId="0" xfId="11" applyNumberFormat="1" applyFont="1"/>
    <xf numFmtId="0" fontId="99" fillId="0" borderId="0" xfId="19" applyFont="1"/>
    <xf numFmtId="42" fontId="85" fillId="0" borderId="0" xfId="19" applyNumberFormat="1" applyFont="1"/>
    <xf numFmtId="0" fontId="66" fillId="11" borderId="18" xfId="19" applyFont="1" applyFill="1" applyBorder="1" applyAlignment="1">
      <alignment horizontal="center"/>
    </xf>
    <xf numFmtId="0" fontId="66" fillId="0" borderId="19" xfId="19" applyFont="1" applyBorder="1" applyAlignment="1">
      <alignment horizontal="center"/>
    </xf>
    <xf numFmtId="0" fontId="76" fillId="23" borderId="35" xfId="19" applyFont="1" applyFill="1" applyBorder="1" applyAlignment="1">
      <alignment horizontal="center"/>
    </xf>
    <xf numFmtId="0" fontId="76" fillId="0" borderId="35" xfId="19" applyFont="1" applyBorder="1" applyAlignment="1">
      <alignment horizontal="center"/>
    </xf>
    <xf numFmtId="0" fontId="79" fillId="0" borderId="35" xfId="19" applyFont="1" applyBorder="1" applyAlignment="1">
      <alignment horizontal="center"/>
    </xf>
    <xf numFmtId="49" fontId="79" fillId="0" borderId="35" xfId="19" applyNumberFormat="1" applyFont="1" applyBorder="1" applyAlignment="1">
      <alignment horizontal="center"/>
    </xf>
    <xf numFmtId="42" fontId="0" fillId="11" borderId="36" xfId="11" applyNumberFormat="1" applyFont="1" applyFill="1" applyBorder="1"/>
    <xf numFmtId="42" fontId="0" fillId="0" borderId="35" xfId="11" applyNumberFormat="1" applyFont="1" applyBorder="1"/>
    <xf numFmtId="42" fontId="23" fillId="0" borderId="0" xfId="19" applyNumberFormat="1"/>
    <xf numFmtId="168" fontId="0" fillId="12" borderId="35" xfId="11" applyNumberFormat="1" applyFont="1" applyFill="1" applyBorder="1"/>
    <xf numFmtId="9" fontId="23" fillId="0" borderId="0" xfId="19" applyNumberFormat="1"/>
    <xf numFmtId="0" fontId="23" fillId="0" borderId="15" xfId="19" applyBorder="1"/>
    <xf numFmtId="0" fontId="23" fillId="21" borderId="15" xfId="19" applyFill="1" applyBorder="1"/>
    <xf numFmtId="42" fontId="79" fillId="11" borderId="12" xfId="11" applyNumberFormat="1" applyFont="1" applyFill="1" applyBorder="1"/>
    <xf numFmtId="42" fontId="79" fillId="0" borderId="15" xfId="11" applyNumberFormat="1" applyFont="1" applyBorder="1"/>
    <xf numFmtId="42" fontId="83" fillId="25" borderId="15" xfId="19" applyNumberFormat="1" applyFont="1" applyFill="1" applyBorder="1" applyAlignment="1">
      <alignment horizontal="center"/>
    </xf>
    <xf numFmtId="42" fontId="83" fillId="25" borderId="13" xfId="19" applyNumberFormat="1" applyFont="1" applyFill="1" applyBorder="1" applyAlignment="1">
      <alignment horizontal="center"/>
    </xf>
    <xf numFmtId="44" fontId="23" fillId="0" borderId="0" xfId="19" applyNumberFormat="1"/>
    <xf numFmtId="44" fontId="100" fillId="0" borderId="0" xfId="19" applyNumberFormat="1" applyFont="1"/>
    <xf numFmtId="0" fontId="98" fillId="27" borderId="0" xfId="19" applyFont="1" applyFill="1"/>
    <xf numFmtId="169" fontId="98" fillId="27" borderId="0" xfId="19" applyNumberFormat="1" applyFont="1" applyFill="1"/>
    <xf numFmtId="0" fontId="100" fillId="0" borderId="0" xfId="19" applyFont="1"/>
    <xf numFmtId="0" fontId="98" fillId="28" borderId="0" xfId="19" applyFont="1" applyFill="1"/>
    <xf numFmtId="6" fontId="98" fillId="28" borderId="0" xfId="19" applyNumberFormat="1" applyFont="1" applyFill="1"/>
    <xf numFmtId="8" fontId="42" fillId="17" borderId="3" xfId="6" applyNumberFormat="1" applyFont="1" applyFill="1" applyBorder="1"/>
    <xf numFmtId="8" fontId="40" fillId="17" borderId="3" xfId="6" applyNumberFormat="1" applyFont="1" applyFill="1" applyBorder="1"/>
    <xf numFmtId="168" fontId="42" fillId="0" borderId="3" xfId="6" applyNumberFormat="1" applyFont="1" applyFill="1" applyBorder="1"/>
    <xf numFmtId="6" fontId="45" fillId="9" borderId="29" xfId="13" applyNumberFormat="1" applyFont="1" applyFill="1" applyBorder="1"/>
    <xf numFmtId="0" fontId="45" fillId="0" borderId="0" xfId="13" applyFont="1" applyFill="1"/>
    <xf numFmtId="0" fontId="42" fillId="0" borderId="0" xfId="13" applyFont="1" applyFill="1"/>
    <xf numFmtId="8" fontId="45" fillId="0" borderId="0" xfId="13" applyNumberFormat="1" applyFont="1" applyFill="1"/>
    <xf numFmtId="8" fontId="42" fillId="0" borderId="0" xfId="13" applyNumberFormat="1" applyFont="1" applyFill="1"/>
    <xf numFmtId="0" fontId="45" fillId="0" borderId="0" xfId="13" applyFont="1" applyFill="1" applyBorder="1"/>
    <xf numFmtId="0" fontId="42" fillId="0" borderId="0" xfId="13" applyFont="1" applyFill="1" applyBorder="1"/>
    <xf numFmtId="8" fontId="45" fillId="0" borderId="0" xfId="13" applyNumberFormat="1" applyFont="1" applyFill="1" applyBorder="1"/>
    <xf numFmtId="6" fontId="45" fillId="0" borderId="0" xfId="13" applyNumberFormat="1" applyFont="1" applyFill="1" applyBorder="1"/>
    <xf numFmtId="8" fontId="42" fillId="0" borderId="3" xfId="6" applyNumberFormat="1" applyFont="1" applyBorder="1"/>
    <xf numFmtId="8" fontId="40" fillId="0" borderId="3" xfId="6" applyNumberFormat="1" applyFont="1" applyBorder="1"/>
  </cellXfs>
  <cellStyles count="23">
    <cellStyle name="Comma 2" xfId="4" xr:uid="{00000000-0005-0000-0000-000000000000}"/>
    <cellStyle name="Comma 3" xfId="5" xr:uid="{00000000-0005-0000-0000-000001000000}"/>
    <cellStyle name="Currency" xfId="1" builtinId="4"/>
    <cellStyle name="Currency 2" xfId="6" xr:uid="{00000000-0005-0000-0000-000003000000}"/>
    <cellStyle name="Currency 2 2" xfId="7" xr:uid="{00000000-0005-0000-0000-000004000000}"/>
    <cellStyle name="Currency 2 3" xfId="8" xr:uid="{00000000-0005-0000-0000-000005000000}"/>
    <cellStyle name="Currency 3" xfId="9" xr:uid="{00000000-0005-0000-0000-000006000000}"/>
    <cellStyle name="Currency 3 2" xfId="10" xr:uid="{00000000-0005-0000-0000-000007000000}"/>
    <cellStyle name="Currency 4" xfId="11" xr:uid="{00000000-0005-0000-0000-000008000000}"/>
    <cellStyle name="Currency 5" xfId="3" xr:uid="{00000000-0005-0000-0000-000009000000}"/>
    <cellStyle name="Currency 6" xfId="12" xr:uid="{00000000-0005-0000-0000-00000A000000}"/>
    <cellStyle name="Normal" xfId="0" builtinId="0"/>
    <cellStyle name="Normal 2" xfId="13" xr:uid="{00000000-0005-0000-0000-00000C000000}"/>
    <cellStyle name="Normal 2 2" xfId="14" xr:uid="{00000000-0005-0000-0000-00000D000000}"/>
    <cellStyle name="Normal 2 3" xfId="15" xr:uid="{00000000-0005-0000-0000-00000E000000}"/>
    <cellStyle name="Normal 2 4" xfId="16" xr:uid="{00000000-0005-0000-0000-00000F000000}"/>
    <cellStyle name="Normal 3" xfId="17" xr:uid="{00000000-0005-0000-0000-000010000000}"/>
    <cellStyle name="Normal 4" xfId="18" xr:uid="{00000000-0005-0000-0000-000011000000}"/>
    <cellStyle name="Normal 4 2" xfId="19" xr:uid="{00000000-0005-0000-0000-000012000000}"/>
    <cellStyle name="Normal 5" xfId="20" xr:uid="{00000000-0005-0000-0000-000013000000}"/>
    <cellStyle name="Normal 6" xfId="2" xr:uid="{00000000-0005-0000-0000-000014000000}"/>
    <cellStyle name="Normal 7" xfId="21" xr:uid="{00000000-0005-0000-0000-000015000000}"/>
    <cellStyle name="Normal 8" xfId="22" xr:uid="{00000000-0005-0000-0000-000016000000}"/>
  </cellStyles>
  <dxfs count="2">
    <dxf>
      <font>
        <condense val="0"/>
        <extend val="0"/>
        <color indexed="17"/>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8631D-B7E6-7C48-920B-E7850DF04A15}">
  <dimension ref="A1:H37"/>
  <sheetViews>
    <sheetView workbookViewId="0">
      <selection activeCell="B36" sqref="B36"/>
    </sheetView>
  </sheetViews>
  <sheetFormatPr baseColWidth="10" defaultColWidth="8.83203125" defaultRowHeight="15" x14ac:dyDescent="0.2"/>
  <cols>
    <col min="1" max="1" width="8.83203125" style="490"/>
    <col min="2" max="2" width="28.5" style="490" bestFit="1" customWidth="1"/>
    <col min="3" max="3" width="19.5" style="490" customWidth="1"/>
    <col min="4" max="5" width="16" style="490" customWidth="1"/>
    <col min="6" max="6" width="20.1640625" style="490" bestFit="1" customWidth="1"/>
    <col min="7" max="7" width="14.5" style="490" customWidth="1"/>
    <col min="8" max="8" width="34" style="490" customWidth="1"/>
    <col min="9" max="16384" width="8.83203125" style="490"/>
  </cols>
  <sheetData>
    <row r="1" spans="1:8" ht="17" thickBot="1" x14ac:dyDescent="0.25">
      <c r="A1" s="500" t="s">
        <v>580</v>
      </c>
      <c r="B1" s="500" t="s">
        <v>579</v>
      </c>
      <c r="C1" s="499" t="s">
        <v>578</v>
      </c>
      <c r="D1" s="498" t="s">
        <v>577</v>
      </c>
      <c r="E1" s="498" t="s">
        <v>576</v>
      </c>
      <c r="F1" s="498" t="s">
        <v>581</v>
      </c>
      <c r="G1" s="498" t="s">
        <v>575</v>
      </c>
    </row>
    <row r="2" spans="1:8" ht="16" x14ac:dyDescent="0.2">
      <c r="A2" s="497"/>
      <c r="B2" s="497"/>
      <c r="C2" s="496"/>
      <c r="D2" s="496"/>
      <c r="E2" s="496"/>
      <c r="F2" s="501"/>
      <c r="G2" s="495"/>
    </row>
    <row r="3" spans="1:8" ht="16" x14ac:dyDescent="0.2">
      <c r="A3" s="503">
        <v>135032</v>
      </c>
      <c r="B3" s="504" t="s">
        <v>574</v>
      </c>
      <c r="C3" s="504" t="s">
        <v>572</v>
      </c>
      <c r="D3" s="525">
        <v>899791</v>
      </c>
      <c r="E3" s="525"/>
      <c r="F3" s="526"/>
      <c r="G3" s="527"/>
    </row>
    <row r="4" spans="1:8" ht="16" x14ac:dyDescent="0.2">
      <c r="A4" s="503">
        <v>135036</v>
      </c>
      <c r="B4" s="504" t="s">
        <v>573</v>
      </c>
      <c r="C4" s="504" t="s">
        <v>572</v>
      </c>
      <c r="D4" s="515">
        <v>509881</v>
      </c>
      <c r="E4" s="515"/>
      <c r="F4" s="505"/>
      <c r="G4" s="527"/>
    </row>
    <row r="5" spans="1:8" ht="16" x14ac:dyDescent="0.2">
      <c r="A5" s="503">
        <v>135034</v>
      </c>
      <c r="B5" s="504" t="s">
        <v>571</v>
      </c>
      <c r="C5" s="504" t="s">
        <v>569</v>
      </c>
      <c r="D5" s="515">
        <v>1299475</v>
      </c>
      <c r="E5" s="515"/>
      <c r="F5" s="505"/>
      <c r="G5" s="527"/>
    </row>
    <row r="6" spans="1:8" ht="16" x14ac:dyDescent="0.2">
      <c r="A6" s="503">
        <v>135042</v>
      </c>
      <c r="B6" s="504" t="s">
        <v>570</v>
      </c>
      <c r="C6" s="504" t="s">
        <v>569</v>
      </c>
      <c r="D6" s="515">
        <v>714711</v>
      </c>
      <c r="E6" s="515"/>
      <c r="F6" s="505"/>
      <c r="G6" s="527"/>
    </row>
    <row r="7" spans="1:8" ht="16" x14ac:dyDescent="0.2">
      <c r="A7" s="503">
        <v>135039</v>
      </c>
      <c r="B7" s="506" t="s">
        <v>568</v>
      </c>
      <c r="C7" s="504" t="s">
        <v>566</v>
      </c>
      <c r="D7" s="515">
        <v>1336327</v>
      </c>
      <c r="E7" s="515"/>
      <c r="F7" s="505"/>
      <c r="G7" s="527"/>
    </row>
    <row r="8" spans="1:8" ht="16" x14ac:dyDescent="0.2">
      <c r="A8" s="503">
        <v>135047</v>
      </c>
      <c r="B8" s="506" t="s">
        <v>567</v>
      </c>
      <c r="C8" s="504" t="s">
        <v>566</v>
      </c>
      <c r="D8" s="515">
        <v>734980</v>
      </c>
      <c r="E8" s="515"/>
      <c r="F8" s="505"/>
      <c r="G8" s="527"/>
    </row>
    <row r="9" spans="1:8" ht="16" x14ac:dyDescent="0.2">
      <c r="A9" s="507">
        <v>135044</v>
      </c>
      <c r="B9" s="506" t="s">
        <v>565</v>
      </c>
      <c r="C9" s="504" t="s">
        <v>563</v>
      </c>
      <c r="D9" s="515">
        <v>1219544</v>
      </c>
      <c r="E9" s="515"/>
      <c r="F9" s="505"/>
      <c r="G9" s="505"/>
    </row>
    <row r="10" spans="1:8" ht="16" x14ac:dyDescent="0.2">
      <c r="A10" s="507">
        <v>135052</v>
      </c>
      <c r="B10" s="506" t="s">
        <v>564</v>
      </c>
      <c r="C10" s="504" t="s">
        <v>563</v>
      </c>
      <c r="D10" s="515">
        <v>670750</v>
      </c>
      <c r="E10" s="515"/>
      <c r="F10" s="505"/>
      <c r="G10" s="527"/>
    </row>
    <row r="11" spans="1:8" ht="16" x14ac:dyDescent="0.2">
      <c r="A11" s="519"/>
      <c r="B11" s="520" t="s">
        <v>562</v>
      </c>
      <c r="C11" s="521"/>
      <c r="D11" s="522">
        <f>D3+D5+D7+D9</f>
        <v>4755137</v>
      </c>
      <c r="E11" s="522">
        <v>4755137</v>
      </c>
      <c r="F11" s="528"/>
      <c r="G11" s="528">
        <f>D11-E11</f>
        <v>0</v>
      </c>
    </row>
    <row r="12" spans="1:8" ht="16" x14ac:dyDescent="0.2">
      <c r="A12" s="519"/>
      <c r="B12" s="520" t="s">
        <v>561</v>
      </c>
      <c r="C12" s="521"/>
      <c r="D12" s="522">
        <f>D4+D6+D8+D10</f>
        <v>2630322</v>
      </c>
      <c r="E12" s="522">
        <f>2642430-12108-12108</f>
        <v>2618214</v>
      </c>
      <c r="F12" s="522">
        <v>12108</v>
      </c>
      <c r="G12" s="528">
        <f t="shared" ref="G12:G20" si="0">D12-E12</f>
        <v>12108</v>
      </c>
      <c r="H12" s="494"/>
    </row>
    <row r="13" spans="1:8" ht="16" x14ac:dyDescent="0.2">
      <c r="A13" s="510">
        <v>135049</v>
      </c>
      <c r="B13" s="511" t="s">
        <v>560</v>
      </c>
      <c r="C13" s="512" t="s">
        <v>558</v>
      </c>
      <c r="D13" s="516">
        <v>1228803</v>
      </c>
      <c r="E13" s="516">
        <v>1228803</v>
      </c>
      <c r="F13" s="513"/>
      <c r="G13" s="529">
        <f t="shared" si="0"/>
        <v>0</v>
      </c>
    </row>
    <row r="14" spans="1:8" ht="16" x14ac:dyDescent="0.2">
      <c r="A14" s="510">
        <v>135054</v>
      </c>
      <c r="B14" s="514" t="s">
        <v>559</v>
      </c>
      <c r="C14" s="512" t="s">
        <v>558</v>
      </c>
      <c r="D14" s="516">
        <v>696386</v>
      </c>
      <c r="E14" s="516">
        <v>696386</v>
      </c>
      <c r="F14" s="513"/>
      <c r="G14" s="529">
        <f t="shared" si="0"/>
        <v>0</v>
      </c>
      <c r="H14" s="490" t="s">
        <v>582</v>
      </c>
    </row>
    <row r="15" spans="1:8" ht="16" x14ac:dyDescent="0.2">
      <c r="A15" s="589">
        <v>135072</v>
      </c>
      <c r="B15" s="590" t="s">
        <v>584</v>
      </c>
      <c r="C15" s="591" t="s">
        <v>587</v>
      </c>
      <c r="D15" s="592">
        <v>668784</v>
      </c>
      <c r="E15" s="517">
        <f>'Perkins 22_23 Balane'!E22+'Perkins 22_23 Balane'!F22</f>
        <v>163518.07</v>
      </c>
      <c r="F15" s="493"/>
      <c r="G15" s="524">
        <f t="shared" si="0"/>
        <v>505265.93</v>
      </c>
      <c r="H15" s="490" t="s">
        <v>589</v>
      </c>
    </row>
    <row r="16" spans="1:8" ht="16" x14ac:dyDescent="0.2">
      <c r="A16" s="589">
        <v>135056</v>
      </c>
      <c r="B16" s="593" t="s">
        <v>557</v>
      </c>
      <c r="C16" s="591" t="s">
        <v>555</v>
      </c>
      <c r="D16" s="592">
        <v>1415933</v>
      </c>
      <c r="E16" s="517">
        <f>'SWP 6 Balance'!E21+'SWP 6 Balance'!F21+'SWP 6 Balance'!G21</f>
        <v>555526.88</v>
      </c>
      <c r="F16" s="493"/>
      <c r="G16" s="524">
        <f t="shared" si="0"/>
        <v>860406.12</v>
      </c>
    </row>
    <row r="17" spans="1:8" ht="16" x14ac:dyDescent="0.2">
      <c r="A17" s="589">
        <v>135060</v>
      </c>
      <c r="B17" s="590" t="s">
        <v>556</v>
      </c>
      <c r="C17" s="591" t="s">
        <v>555</v>
      </c>
      <c r="D17" s="592">
        <v>770425</v>
      </c>
      <c r="E17" s="517">
        <f>'SWP 6 Balance'!E34+'SWP 6 Balance'!F34</f>
        <v>344427.98</v>
      </c>
      <c r="F17" s="493"/>
      <c r="G17" s="524">
        <f t="shared" si="0"/>
        <v>425997.02</v>
      </c>
      <c r="H17" s="490" t="s">
        <v>583</v>
      </c>
    </row>
    <row r="18" spans="1:8" ht="16" x14ac:dyDescent="0.2">
      <c r="A18" s="587"/>
      <c r="B18" s="587" t="s">
        <v>585</v>
      </c>
      <c r="C18" s="508" t="s">
        <v>586</v>
      </c>
      <c r="D18" s="588"/>
      <c r="E18" s="588"/>
      <c r="F18" s="588"/>
      <c r="G18" s="509"/>
    </row>
    <row r="19" spans="1:8" ht="16" x14ac:dyDescent="0.2">
      <c r="A19" s="523">
        <v>135063</v>
      </c>
      <c r="B19" s="491" t="s">
        <v>554</v>
      </c>
      <c r="C19" s="492" t="s">
        <v>552</v>
      </c>
      <c r="D19" s="518">
        <v>1532273</v>
      </c>
      <c r="E19" s="518"/>
      <c r="F19" s="491"/>
      <c r="G19" s="524">
        <f t="shared" si="0"/>
        <v>1532273</v>
      </c>
    </row>
    <row r="20" spans="1:8" ht="16" x14ac:dyDescent="0.2">
      <c r="A20" s="491"/>
      <c r="B20" s="491" t="s">
        <v>553</v>
      </c>
      <c r="C20" s="492" t="s">
        <v>552</v>
      </c>
      <c r="D20" s="518">
        <v>812750</v>
      </c>
      <c r="E20" s="518"/>
      <c r="F20" s="588">
        <v>30000</v>
      </c>
      <c r="G20" s="524">
        <f t="shared" si="0"/>
        <v>812750</v>
      </c>
    </row>
    <row r="21" spans="1:8" hidden="1" x14ac:dyDescent="0.2">
      <c r="A21" s="491"/>
      <c r="B21" s="491" t="s">
        <v>551</v>
      </c>
      <c r="C21" s="492" t="s">
        <v>588</v>
      </c>
      <c r="D21" s="518"/>
      <c r="E21" s="518"/>
      <c r="F21" s="491"/>
      <c r="G21" s="491"/>
    </row>
    <row r="22" spans="1:8" hidden="1" x14ac:dyDescent="0.2">
      <c r="A22" s="491"/>
      <c r="B22" s="491" t="s">
        <v>550</v>
      </c>
      <c r="C22" s="492" t="s">
        <v>588</v>
      </c>
      <c r="D22" s="518"/>
      <c r="E22" s="518"/>
      <c r="F22" s="491"/>
      <c r="G22" s="491"/>
    </row>
    <row r="37" spans="4:4" x14ac:dyDescent="0.2">
      <c r="D37" s="50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7FFD-8C38-4946-A4C9-AD1CFF49C792}">
  <sheetPr>
    <pageSetUpPr fitToPage="1"/>
  </sheetPr>
  <dimension ref="A1:M47"/>
  <sheetViews>
    <sheetView zoomScale="115" zoomScaleNormal="115" workbookViewId="0">
      <selection activeCell="E26" sqref="E26"/>
    </sheetView>
  </sheetViews>
  <sheetFormatPr baseColWidth="10" defaultColWidth="8.83203125" defaultRowHeight="15" x14ac:dyDescent="0.2"/>
  <cols>
    <col min="1" max="1" width="2.5" style="490" customWidth="1"/>
    <col min="2" max="2" width="14.5" style="490" customWidth="1"/>
    <col min="3" max="3" width="12.83203125" style="490" customWidth="1"/>
    <col min="4" max="4" width="16.6640625" style="490" bestFit="1" customWidth="1"/>
    <col min="5" max="5" width="16" style="490" customWidth="1"/>
    <col min="6" max="6" width="18.6640625" style="490" customWidth="1"/>
    <col min="7" max="7" width="14.1640625" style="490" bestFit="1" customWidth="1"/>
    <col min="8" max="8" width="2" style="490" customWidth="1"/>
    <col min="9" max="9" width="2.5" style="490" customWidth="1"/>
    <col min="10" max="11" width="8.83203125" style="490"/>
    <col min="12" max="12" width="10.33203125" style="490" customWidth="1"/>
    <col min="13" max="13" width="10.5" style="490" customWidth="1"/>
    <col min="14" max="16384" width="8.83203125" style="490"/>
  </cols>
  <sheetData>
    <row r="1" spans="1:13" x14ac:dyDescent="0.2">
      <c r="A1" s="530"/>
      <c r="B1" s="530"/>
      <c r="C1" s="531" t="s">
        <v>591</v>
      </c>
      <c r="D1" s="530"/>
      <c r="E1" s="530"/>
      <c r="F1" s="532" t="s">
        <v>592</v>
      </c>
      <c r="G1" s="533">
        <v>45107</v>
      </c>
      <c r="H1" s="530"/>
    </row>
    <row r="2" spans="1:13" x14ac:dyDescent="0.2">
      <c r="A2" s="530"/>
      <c r="B2" s="534" t="s">
        <v>593</v>
      </c>
      <c r="C2" s="534" t="s">
        <v>594</v>
      </c>
      <c r="D2" s="534" t="s">
        <v>595</v>
      </c>
      <c r="E2" s="534" t="s">
        <v>576</v>
      </c>
      <c r="F2" s="535" t="s">
        <v>598</v>
      </c>
      <c r="G2" s="535" t="s">
        <v>575</v>
      </c>
      <c r="H2" s="530"/>
    </row>
    <row r="3" spans="1:13" x14ac:dyDescent="0.2">
      <c r="A3" s="530"/>
      <c r="B3" s="542" t="s">
        <v>599</v>
      </c>
      <c r="C3" s="542">
        <v>237049</v>
      </c>
      <c r="D3" s="543">
        <v>27000</v>
      </c>
      <c r="E3" s="544"/>
      <c r="F3" s="542"/>
      <c r="G3" s="545">
        <f t="shared" ref="G3:G5" si="0">D3-E3-F3</f>
        <v>27000</v>
      </c>
      <c r="H3" s="530"/>
    </row>
    <row r="4" spans="1:13" x14ac:dyDescent="0.2">
      <c r="A4" s="530"/>
      <c r="B4" s="542" t="s">
        <v>24</v>
      </c>
      <c r="C4" s="542">
        <v>237050</v>
      </c>
      <c r="D4" s="543">
        <v>46500</v>
      </c>
      <c r="E4" s="544"/>
      <c r="F4" s="546">
        <f>2419+860</f>
        <v>3279</v>
      </c>
      <c r="G4" s="545">
        <f t="shared" si="0"/>
        <v>43221</v>
      </c>
      <c r="H4" s="530"/>
      <c r="L4" s="490" t="s">
        <v>634</v>
      </c>
    </row>
    <row r="5" spans="1:13" x14ac:dyDescent="0.2">
      <c r="A5" s="530"/>
      <c r="B5" s="542" t="s">
        <v>600</v>
      </c>
      <c r="C5" s="542">
        <v>237051</v>
      </c>
      <c r="D5" s="543">
        <v>46500</v>
      </c>
      <c r="E5" s="547"/>
      <c r="F5" s="548"/>
      <c r="G5" s="545">
        <f t="shared" si="0"/>
        <v>46500</v>
      </c>
      <c r="H5" s="530"/>
      <c r="L5" s="580" t="s">
        <v>373</v>
      </c>
      <c r="M5" s="585">
        <v>1500</v>
      </c>
    </row>
    <row r="6" spans="1:13" x14ac:dyDescent="0.2">
      <c r="A6" s="530"/>
      <c r="B6" s="542" t="s">
        <v>601</v>
      </c>
      <c r="C6" s="542">
        <v>237071</v>
      </c>
      <c r="D6" s="543">
        <v>39250</v>
      </c>
      <c r="E6" s="547"/>
      <c r="F6" s="548"/>
      <c r="G6" s="545">
        <f>D6-E6-F6</f>
        <v>39250</v>
      </c>
      <c r="H6" s="530"/>
      <c r="L6" s="580" t="s">
        <v>608</v>
      </c>
      <c r="M6" s="585">
        <v>2000</v>
      </c>
    </row>
    <row r="7" spans="1:13" x14ac:dyDescent="0.2">
      <c r="A7" s="530"/>
      <c r="B7" s="542" t="s">
        <v>603</v>
      </c>
      <c r="C7" s="549">
        <v>233002</v>
      </c>
      <c r="D7" s="543">
        <v>19600</v>
      </c>
      <c r="E7" s="547"/>
      <c r="F7" s="548"/>
      <c r="G7" s="545">
        <f>D7-E7-F7</f>
        <v>19600</v>
      </c>
      <c r="H7" s="530"/>
      <c r="L7" s="580" t="s">
        <v>617</v>
      </c>
      <c r="M7" s="585">
        <f>3641.58+1334.76</f>
        <v>4976.34</v>
      </c>
    </row>
    <row r="8" spans="1:13" x14ac:dyDescent="0.2">
      <c r="A8" s="530"/>
      <c r="B8" s="542" t="s">
        <v>605</v>
      </c>
      <c r="C8" s="542">
        <v>237044</v>
      </c>
      <c r="D8" s="543">
        <v>25233</v>
      </c>
      <c r="E8" s="550"/>
      <c r="F8" s="551"/>
      <c r="G8" s="545">
        <f t="shared" ref="G8:G21" si="1">D8-E8-F8</f>
        <v>25233</v>
      </c>
      <c r="H8" s="530"/>
      <c r="L8" s="490" t="s">
        <v>282</v>
      </c>
      <c r="M8" s="586">
        <v>1000</v>
      </c>
    </row>
    <row r="9" spans="1:13" x14ac:dyDescent="0.2">
      <c r="A9" s="530"/>
      <c r="B9" s="542" t="s">
        <v>373</v>
      </c>
      <c r="C9" s="542">
        <v>237054</v>
      </c>
      <c r="D9" s="543">
        <v>39000</v>
      </c>
      <c r="E9" s="544">
        <v>8097</v>
      </c>
      <c r="F9" s="546">
        <v>58500</v>
      </c>
      <c r="G9" s="545">
        <f t="shared" si="1"/>
        <v>-27597</v>
      </c>
      <c r="H9" s="530"/>
      <c r="L9" s="582" t="s">
        <v>633</v>
      </c>
      <c r="M9" s="586">
        <v>600</v>
      </c>
    </row>
    <row r="10" spans="1:13" x14ac:dyDescent="0.2">
      <c r="A10" s="530"/>
      <c r="B10" s="542" t="s">
        <v>608</v>
      </c>
      <c r="C10" s="542">
        <v>237055</v>
      </c>
      <c r="D10" s="543">
        <v>39000</v>
      </c>
      <c r="E10" s="547">
        <v>11794</v>
      </c>
      <c r="F10" s="548">
        <v>3637</v>
      </c>
      <c r="G10" s="545">
        <f t="shared" si="1"/>
        <v>23569</v>
      </c>
      <c r="H10" s="530"/>
    </row>
    <row r="11" spans="1:13" x14ac:dyDescent="0.2">
      <c r="A11" s="530"/>
      <c r="B11" s="542" t="s">
        <v>442</v>
      </c>
      <c r="C11" s="542">
        <v>237056</v>
      </c>
      <c r="D11" s="543">
        <v>39000</v>
      </c>
      <c r="E11" s="547"/>
      <c r="F11" s="548"/>
      <c r="G11" s="545">
        <f t="shared" si="1"/>
        <v>39000</v>
      </c>
      <c r="H11" s="530"/>
    </row>
    <row r="12" spans="1:13" x14ac:dyDescent="0.2">
      <c r="A12" s="530"/>
      <c r="B12" s="542" t="s">
        <v>609</v>
      </c>
      <c r="C12" s="542">
        <v>237046</v>
      </c>
      <c r="D12" s="543">
        <v>26233</v>
      </c>
      <c r="E12" s="544">
        <v>3188.83</v>
      </c>
      <c r="F12" s="546"/>
      <c r="G12" s="545">
        <f t="shared" si="1"/>
        <v>23044.17</v>
      </c>
      <c r="H12" s="530"/>
    </row>
    <row r="13" spans="1:13" x14ac:dyDescent="0.2">
      <c r="A13" s="530"/>
      <c r="B13" s="542" t="s">
        <v>610</v>
      </c>
      <c r="C13" s="542">
        <v>237052</v>
      </c>
      <c r="D13" s="543">
        <v>26233</v>
      </c>
      <c r="E13" s="547">
        <v>27024.29</v>
      </c>
      <c r="F13" s="548"/>
      <c r="G13" s="545">
        <f t="shared" si="1"/>
        <v>-791.29000000000087</v>
      </c>
      <c r="H13" s="530"/>
    </row>
    <row r="14" spans="1:13" x14ac:dyDescent="0.2">
      <c r="A14" s="530"/>
      <c r="B14" s="542" t="s">
        <v>612</v>
      </c>
      <c r="C14" s="542">
        <v>237053</v>
      </c>
      <c r="D14" s="543">
        <v>26233</v>
      </c>
      <c r="E14" s="547">
        <v>18711.29</v>
      </c>
      <c r="F14" s="548"/>
      <c r="G14" s="545">
        <f t="shared" si="1"/>
        <v>7521.7099999999991</v>
      </c>
      <c r="H14" s="530"/>
    </row>
    <row r="15" spans="1:13" x14ac:dyDescent="0.2">
      <c r="A15" s="530"/>
      <c r="B15" s="542" t="s">
        <v>614</v>
      </c>
      <c r="C15" s="542">
        <v>237078</v>
      </c>
      <c r="D15" s="543">
        <v>26233</v>
      </c>
      <c r="E15" s="547"/>
      <c r="F15" s="548"/>
      <c r="G15" s="545">
        <f t="shared" si="1"/>
        <v>26233</v>
      </c>
      <c r="H15" s="530"/>
    </row>
    <row r="16" spans="1:13" x14ac:dyDescent="0.2">
      <c r="A16" s="530"/>
      <c r="B16" s="542" t="s">
        <v>615</v>
      </c>
      <c r="C16" s="542">
        <v>237058</v>
      </c>
      <c r="D16" s="543">
        <v>16600</v>
      </c>
      <c r="E16" s="544">
        <v>4150.34</v>
      </c>
      <c r="F16" s="546">
        <v>1020.32</v>
      </c>
      <c r="G16" s="545">
        <f t="shared" si="1"/>
        <v>11429.34</v>
      </c>
      <c r="H16" s="530"/>
    </row>
    <row r="17" spans="1:8" x14ac:dyDescent="0.2">
      <c r="A17" s="530"/>
      <c r="B17" s="542" t="s">
        <v>616</v>
      </c>
      <c r="C17" s="542">
        <v>237059</v>
      </c>
      <c r="D17" s="543">
        <v>19400</v>
      </c>
      <c r="E17" s="547"/>
      <c r="F17" s="548"/>
      <c r="G17" s="545">
        <f t="shared" si="1"/>
        <v>19400</v>
      </c>
      <c r="H17" s="530"/>
    </row>
    <row r="18" spans="1:8" x14ac:dyDescent="0.2">
      <c r="A18" s="530"/>
      <c r="B18" s="542" t="s">
        <v>607</v>
      </c>
      <c r="C18" s="542">
        <v>237060</v>
      </c>
      <c r="D18" s="543">
        <v>19400</v>
      </c>
      <c r="E18" s="547"/>
      <c r="F18" s="548"/>
      <c r="G18" s="545">
        <f t="shared" si="1"/>
        <v>19400</v>
      </c>
      <c r="H18" s="530"/>
    </row>
    <row r="19" spans="1:8" x14ac:dyDescent="0.2">
      <c r="A19" s="530"/>
      <c r="B19" s="542" t="s">
        <v>282</v>
      </c>
      <c r="C19" s="542">
        <v>237045</v>
      </c>
      <c r="D19" s="543">
        <v>20000</v>
      </c>
      <c r="E19" s="544">
        <v>3373</v>
      </c>
      <c r="F19" s="542"/>
      <c r="G19" s="545">
        <f t="shared" si="1"/>
        <v>16627</v>
      </c>
      <c r="H19" s="530"/>
    </row>
    <row r="20" spans="1:8" x14ac:dyDescent="0.2">
      <c r="A20" s="530"/>
      <c r="B20" s="542" t="s">
        <v>617</v>
      </c>
      <c r="C20" s="542">
        <v>237062</v>
      </c>
      <c r="D20" s="543">
        <v>158379</v>
      </c>
      <c r="E20" s="544">
        <v>20743</v>
      </c>
      <c r="F20" s="545"/>
      <c r="G20" s="545">
        <f t="shared" si="1"/>
        <v>137636</v>
      </c>
      <c r="H20" s="530"/>
    </row>
    <row r="21" spans="1:8" x14ac:dyDescent="0.2">
      <c r="A21" s="530"/>
      <c r="B21" s="542" t="s">
        <v>618</v>
      </c>
      <c r="C21" s="542">
        <v>237063</v>
      </c>
      <c r="D21" s="543">
        <v>8990</v>
      </c>
      <c r="E21" s="544"/>
      <c r="F21" s="542"/>
      <c r="G21" s="545">
        <f t="shared" si="1"/>
        <v>8990</v>
      </c>
      <c r="H21" s="530"/>
    </row>
    <row r="22" spans="1:8" ht="16" thickBot="1" x14ac:dyDescent="0.25">
      <c r="A22" s="530"/>
      <c r="B22" s="560" t="s">
        <v>277</v>
      </c>
      <c r="C22" s="560"/>
      <c r="D22" s="561">
        <f>SUM(D3:D21)</f>
        <v>668784</v>
      </c>
      <c r="E22" s="562">
        <f>SUM(E3:E21)</f>
        <v>97081.75</v>
      </c>
      <c r="F22" s="561">
        <f>SUM(F3:F21)</f>
        <v>66436.320000000007</v>
      </c>
      <c r="G22" s="561">
        <f>D22-(E22+F22)</f>
        <v>505265.93</v>
      </c>
      <c r="H22" s="530"/>
    </row>
    <row r="23" spans="1:8" ht="16" thickTop="1" x14ac:dyDescent="0.2">
      <c r="A23" s="530"/>
      <c r="B23" s="530"/>
      <c r="C23" s="530"/>
      <c r="D23" s="530"/>
      <c r="E23" s="530"/>
      <c r="F23" s="532"/>
      <c r="G23" s="533"/>
      <c r="H23" s="530"/>
    </row>
    <row r="24" spans="1:8" x14ac:dyDescent="0.2">
      <c r="A24" s="530"/>
      <c r="B24" s="530"/>
      <c r="C24" s="530"/>
      <c r="D24" s="530"/>
      <c r="E24" s="530"/>
      <c r="F24" s="532"/>
      <c r="G24" s="533"/>
      <c r="H24" s="530"/>
    </row>
    <row r="25" spans="1:8" x14ac:dyDescent="0.2">
      <c r="A25" s="530"/>
      <c r="B25" s="556"/>
      <c r="C25" s="557"/>
      <c r="D25" s="557"/>
      <c r="E25" s="557"/>
      <c r="F25" s="558"/>
      <c r="G25" s="556"/>
      <c r="H25" s="530"/>
    </row>
    <row r="26" spans="1:8" x14ac:dyDescent="0.2">
      <c r="A26" s="530"/>
      <c r="B26" s="556"/>
      <c r="C26" s="557" t="s">
        <v>619</v>
      </c>
      <c r="D26" s="557"/>
      <c r="E26" s="559">
        <f>E22</f>
        <v>97081.75</v>
      </c>
      <c r="F26" s="558"/>
      <c r="G26" s="556"/>
      <c r="H26" s="530"/>
    </row>
    <row r="27" spans="1:8" x14ac:dyDescent="0.2">
      <c r="A27" s="530"/>
      <c r="B27" s="556"/>
      <c r="C27" s="557" t="s">
        <v>620</v>
      </c>
      <c r="D27" s="557"/>
      <c r="E27" s="559">
        <f>D22-E26</f>
        <v>571702.25</v>
      </c>
      <c r="F27" s="558"/>
      <c r="G27" s="556"/>
      <c r="H27" s="530"/>
    </row>
    <row r="28" spans="1:8" x14ac:dyDescent="0.2">
      <c r="A28" s="530"/>
      <c r="B28" s="556"/>
      <c r="C28" s="557" t="s">
        <v>621</v>
      </c>
      <c r="D28" s="557"/>
      <c r="E28" s="559">
        <f>(M5+M6+M7+M8)*6</f>
        <v>56858.04</v>
      </c>
      <c r="F28" s="558"/>
      <c r="G28" s="556"/>
      <c r="H28" s="530"/>
    </row>
    <row r="29" spans="1:8" x14ac:dyDescent="0.2">
      <c r="A29" s="530"/>
      <c r="B29" s="556"/>
      <c r="C29" s="557" t="s">
        <v>622</v>
      </c>
      <c r="D29" s="557"/>
      <c r="E29" s="559">
        <f>D22-E26-E28-F22</f>
        <v>448407.89</v>
      </c>
      <c r="F29" s="558"/>
      <c r="G29" s="556"/>
      <c r="H29" s="530"/>
    </row>
    <row r="30" spans="1:8" x14ac:dyDescent="0.2">
      <c r="A30" s="530"/>
      <c r="B30" s="556"/>
      <c r="C30" s="557"/>
      <c r="D30" s="557"/>
      <c r="E30" s="557"/>
      <c r="F30" s="558"/>
      <c r="G30" s="556"/>
      <c r="H30" s="530"/>
    </row>
    <row r="31" spans="1:8" x14ac:dyDescent="0.2">
      <c r="A31" s="530"/>
      <c r="B31" s="556"/>
      <c r="C31" s="557"/>
      <c r="D31" s="557"/>
      <c r="E31" s="557"/>
      <c r="F31" s="558"/>
      <c r="G31" s="556"/>
      <c r="H31" s="530"/>
    </row>
    <row r="32" spans="1:8" x14ac:dyDescent="0.2">
      <c r="A32" s="530"/>
      <c r="B32" s="556"/>
      <c r="C32" s="557"/>
      <c r="D32" s="557"/>
      <c r="E32" s="557"/>
      <c r="F32" s="556"/>
      <c r="G32" s="556"/>
      <c r="H32" s="530"/>
    </row>
    <row r="33" spans="1:8" x14ac:dyDescent="0.2">
      <c r="A33" s="530"/>
      <c r="B33" s="530"/>
      <c r="C33" s="530"/>
      <c r="D33" s="530"/>
      <c r="E33" s="530"/>
      <c r="F33" s="530"/>
      <c r="G33" s="530"/>
      <c r="H33" s="530"/>
    </row>
    <row r="36" spans="1:8" x14ac:dyDescent="0.2">
      <c r="G36" s="581"/>
    </row>
    <row r="37" spans="1:8" x14ac:dyDescent="0.2">
      <c r="G37" s="581"/>
    </row>
    <row r="38" spans="1:8" x14ac:dyDescent="0.2">
      <c r="G38" s="581"/>
    </row>
    <row r="46" spans="1:8" x14ac:dyDescent="0.2">
      <c r="C46" s="582"/>
    </row>
    <row r="47" spans="1:8" x14ac:dyDescent="0.2">
      <c r="C47" s="582"/>
    </row>
  </sheetData>
  <pageMargins left="0.7" right="0.7" top="0.75" bottom="0.75" header="0.3" footer="0.3"/>
  <pageSetup scale="48"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D1EF-5BC6-3F48-B33A-E46667D2571E}">
  <dimension ref="A1:GG43"/>
  <sheetViews>
    <sheetView zoomScaleNormal="100" workbookViewId="0">
      <selection activeCell="L68" sqref="L68"/>
    </sheetView>
  </sheetViews>
  <sheetFormatPr baseColWidth="10" defaultColWidth="11.5" defaultRowHeight="13" x14ac:dyDescent="0.15"/>
  <cols>
    <col min="1" max="1" width="10.83203125" style="600" customWidth="1"/>
    <col min="2" max="2" width="29.33203125" style="600" customWidth="1"/>
    <col min="3" max="3" width="1.6640625" style="703" customWidth="1"/>
    <col min="4" max="4" width="14.33203125" style="600" customWidth="1"/>
    <col min="5" max="5" width="14" style="600" customWidth="1"/>
    <col min="6" max="7" width="13.83203125" style="600" customWidth="1"/>
    <col min="8" max="8" width="15" style="600" customWidth="1"/>
    <col min="9" max="9" width="15.33203125" style="600" customWidth="1"/>
    <col min="10" max="10" width="13.83203125" style="600" customWidth="1"/>
    <col min="11" max="11" width="15.5" style="600" customWidth="1"/>
    <col min="12" max="16384" width="11.5" style="600"/>
  </cols>
  <sheetData>
    <row r="1" spans="1:189" s="601" customFormat="1" ht="20" customHeight="1" x14ac:dyDescent="0.15">
      <c r="A1" s="594"/>
      <c r="B1" s="595" t="s">
        <v>635</v>
      </c>
      <c r="C1" s="596"/>
      <c r="D1" s="597" t="s">
        <v>24</v>
      </c>
      <c r="E1" s="597" t="s">
        <v>601</v>
      </c>
      <c r="F1" s="597" t="s">
        <v>600</v>
      </c>
      <c r="G1" s="597" t="s">
        <v>442</v>
      </c>
      <c r="H1" s="597" t="s">
        <v>624</v>
      </c>
      <c r="I1" s="597" t="s">
        <v>625</v>
      </c>
      <c r="J1" s="598"/>
      <c r="K1" s="599"/>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c r="AW1" s="600"/>
      <c r="AX1" s="600"/>
      <c r="AY1" s="600"/>
      <c r="AZ1" s="600"/>
      <c r="BA1" s="600"/>
      <c r="BB1" s="600"/>
      <c r="BC1" s="600"/>
      <c r="BD1" s="600"/>
      <c r="BE1" s="600"/>
      <c r="BF1" s="600"/>
      <c r="BG1" s="600"/>
      <c r="BH1" s="600"/>
      <c r="BI1" s="600"/>
      <c r="BJ1" s="600"/>
      <c r="BK1" s="600"/>
      <c r="BL1" s="600"/>
      <c r="BM1" s="600"/>
      <c r="BN1" s="600"/>
      <c r="BO1" s="600"/>
      <c r="BP1" s="600"/>
      <c r="BQ1" s="600"/>
      <c r="BR1" s="600"/>
      <c r="BS1" s="600"/>
      <c r="BT1" s="600"/>
      <c r="BU1" s="600"/>
      <c r="BV1" s="600"/>
      <c r="BW1" s="600"/>
      <c r="BX1" s="600"/>
      <c r="BY1" s="600"/>
      <c r="BZ1" s="600"/>
      <c r="CA1" s="600"/>
      <c r="CB1" s="600"/>
      <c r="CC1" s="600"/>
      <c r="CD1" s="600"/>
      <c r="CE1" s="600"/>
      <c r="CF1" s="600"/>
      <c r="CG1" s="600"/>
      <c r="CH1" s="600"/>
      <c r="CI1" s="600"/>
      <c r="CJ1" s="600"/>
      <c r="CK1" s="600"/>
      <c r="CL1" s="600"/>
      <c r="CM1" s="600"/>
      <c r="CN1" s="600"/>
      <c r="CO1" s="600"/>
      <c r="CP1" s="600"/>
      <c r="CQ1" s="600"/>
      <c r="CR1" s="600"/>
      <c r="CS1" s="600"/>
      <c r="CT1" s="600"/>
      <c r="CU1" s="600"/>
      <c r="CV1" s="600"/>
      <c r="CW1" s="600"/>
      <c r="CX1" s="600"/>
      <c r="CY1" s="600"/>
      <c r="CZ1" s="600"/>
      <c r="DA1" s="600"/>
      <c r="DB1" s="600"/>
      <c r="DC1" s="600"/>
      <c r="DD1" s="600"/>
      <c r="DE1" s="600"/>
      <c r="DF1" s="600"/>
      <c r="DG1" s="600"/>
      <c r="DH1" s="600"/>
      <c r="DI1" s="600"/>
      <c r="DJ1" s="600"/>
      <c r="DK1" s="600"/>
      <c r="DL1" s="600"/>
      <c r="DM1" s="600"/>
      <c r="DN1" s="600"/>
      <c r="DO1" s="600"/>
      <c r="DP1" s="600"/>
      <c r="DQ1" s="600"/>
      <c r="DR1" s="600"/>
      <c r="DS1" s="600"/>
      <c r="DT1" s="600"/>
      <c r="DU1" s="600"/>
      <c r="DV1" s="600"/>
      <c r="DW1" s="600"/>
      <c r="DX1" s="600"/>
      <c r="DY1" s="600"/>
      <c r="DZ1" s="600"/>
      <c r="EA1" s="600"/>
      <c r="EB1" s="600"/>
      <c r="EC1" s="600"/>
      <c r="ED1" s="600"/>
      <c r="EE1" s="600"/>
      <c r="EF1" s="600"/>
      <c r="EG1" s="600"/>
      <c r="EH1" s="600"/>
      <c r="EI1" s="600"/>
      <c r="EJ1" s="600"/>
      <c r="EK1" s="600"/>
      <c r="EL1" s="600"/>
      <c r="EM1" s="600"/>
      <c r="EN1" s="600"/>
      <c r="EO1" s="600"/>
      <c r="EP1" s="600"/>
      <c r="EQ1" s="600"/>
      <c r="ER1" s="600"/>
      <c r="ES1" s="600"/>
      <c r="ET1" s="600"/>
      <c r="EU1" s="600"/>
      <c r="EV1" s="600"/>
      <c r="EW1" s="600"/>
      <c r="EX1" s="600"/>
      <c r="EY1" s="600"/>
      <c r="EZ1" s="600"/>
      <c r="FA1" s="600"/>
      <c r="FB1" s="600"/>
      <c r="FC1" s="600"/>
      <c r="FD1" s="600"/>
      <c r="FE1" s="600"/>
      <c r="FF1" s="600"/>
      <c r="FG1" s="600"/>
      <c r="FH1" s="600"/>
      <c r="FI1" s="600"/>
      <c r="FJ1" s="600"/>
      <c r="FK1" s="600"/>
      <c r="FL1" s="600"/>
      <c r="FM1" s="600"/>
      <c r="FN1" s="600"/>
      <c r="FO1" s="600"/>
      <c r="FP1" s="600"/>
      <c r="FQ1" s="600"/>
      <c r="FR1" s="600"/>
      <c r="FS1" s="600"/>
      <c r="FT1" s="600"/>
      <c r="FU1" s="600"/>
      <c r="FV1" s="600"/>
      <c r="FW1" s="600"/>
      <c r="FX1" s="600"/>
      <c r="FY1" s="600"/>
      <c r="FZ1" s="600"/>
      <c r="GA1" s="600"/>
      <c r="GB1" s="600"/>
      <c r="GC1" s="600"/>
      <c r="GD1" s="600"/>
      <c r="GE1" s="600"/>
      <c r="GF1" s="600"/>
      <c r="GG1" s="600"/>
    </row>
    <row r="2" spans="1:189" s="601" customFormat="1" ht="20" customHeight="1" x14ac:dyDescent="0.2">
      <c r="A2" s="602"/>
      <c r="B2" s="603" t="s">
        <v>636</v>
      </c>
      <c r="C2" s="604"/>
      <c r="D2" s="605"/>
      <c r="E2" s="605"/>
      <c r="F2" s="605"/>
      <c r="G2" s="605"/>
      <c r="H2" s="605"/>
      <c r="I2" s="605"/>
      <c r="J2" s="606"/>
      <c r="K2" s="607"/>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c r="AW2" s="600"/>
      <c r="AX2" s="600"/>
      <c r="AY2" s="600"/>
      <c r="AZ2" s="600"/>
      <c r="BA2" s="600"/>
      <c r="BB2" s="600"/>
      <c r="BC2" s="600"/>
      <c r="BD2" s="600"/>
      <c r="BE2" s="600"/>
      <c r="BF2" s="600"/>
      <c r="BG2" s="600"/>
      <c r="BH2" s="600"/>
      <c r="BI2" s="600"/>
      <c r="BJ2" s="600"/>
      <c r="BK2" s="600"/>
      <c r="BL2" s="600"/>
      <c r="BM2" s="600"/>
      <c r="BN2" s="600"/>
      <c r="BO2" s="600"/>
      <c r="BP2" s="600"/>
      <c r="BQ2" s="600"/>
      <c r="BR2" s="600"/>
      <c r="BS2" s="600"/>
      <c r="BT2" s="600"/>
      <c r="BU2" s="600"/>
      <c r="BV2" s="600"/>
      <c r="BW2" s="600"/>
      <c r="BX2" s="600"/>
      <c r="BY2" s="600"/>
      <c r="BZ2" s="600"/>
      <c r="CA2" s="600"/>
      <c r="CB2" s="600"/>
      <c r="CC2" s="600"/>
      <c r="CD2" s="600"/>
      <c r="CE2" s="600"/>
      <c r="CF2" s="600"/>
      <c r="CG2" s="600"/>
      <c r="CH2" s="600"/>
      <c r="CI2" s="600"/>
      <c r="CJ2" s="600"/>
      <c r="CK2" s="600"/>
      <c r="CL2" s="600"/>
      <c r="CM2" s="600"/>
      <c r="CN2" s="600"/>
      <c r="CO2" s="600"/>
      <c r="CP2" s="600"/>
      <c r="CQ2" s="600"/>
      <c r="CR2" s="600"/>
      <c r="CS2" s="600"/>
      <c r="CT2" s="600"/>
      <c r="CU2" s="600"/>
      <c r="CV2" s="600"/>
      <c r="CW2" s="600"/>
      <c r="CX2" s="600"/>
      <c r="CY2" s="600"/>
      <c r="CZ2" s="600"/>
      <c r="DA2" s="600"/>
      <c r="DB2" s="600"/>
      <c r="DC2" s="600"/>
      <c r="DD2" s="600"/>
      <c r="DE2" s="600"/>
      <c r="DF2" s="600"/>
      <c r="DG2" s="600"/>
      <c r="DH2" s="600"/>
      <c r="DI2" s="600"/>
      <c r="DJ2" s="600"/>
      <c r="DK2" s="600"/>
      <c r="DL2" s="600"/>
      <c r="DM2" s="600"/>
      <c r="DN2" s="600"/>
      <c r="DO2" s="600"/>
      <c r="DP2" s="600"/>
      <c r="DQ2" s="600"/>
      <c r="DR2" s="600"/>
      <c r="DS2" s="600"/>
      <c r="DT2" s="600"/>
      <c r="DU2" s="600"/>
      <c r="DV2" s="600"/>
      <c r="DW2" s="600"/>
      <c r="DX2" s="600"/>
      <c r="DY2" s="600"/>
      <c r="DZ2" s="600"/>
      <c r="EA2" s="600"/>
      <c r="EB2" s="600"/>
      <c r="EC2" s="600"/>
      <c r="ED2" s="600"/>
      <c r="EE2" s="600"/>
      <c r="EF2" s="600"/>
      <c r="EG2" s="600"/>
      <c r="EH2" s="600"/>
      <c r="EI2" s="600"/>
      <c r="EJ2" s="600"/>
      <c r="EK2" s="600"/>
      <c r="EL2" s="600"/>
      <c r="EM2" s="600"/>
      <c r="EN2" s="600"/>
      <c r="EO2" s="600"/>
      <c r="EP2" s="600"/>
      <c r="EQ2" s="600"/>
      <c r="ER2" s="600"/>
      <c r="ES2" s="600"/>
      <c r="ET2" s="600"/>
      <c r="EU2" s="600"/>
      <c r="EV2" s="600"/>
      <c r="EW2" s="600"/>
      <c r="EX2" s="600"/>
      <c r="EY2" s="600"/>
      <c r="EZ2" s="600"/>
      <c r="FA2" s="600"/>
      <c r="FB2" s="600"/>
      <c r="FC2" s="600"/>
      <c r="FD2" s="600"/>
      <c r="FE2" s="600"/>
      <c r="FF2" s="600"/>
      <c r="FG2" s="600"/>
      <c r="FH2" s="600"/>
      <c r="FI2" s="600"/>
      <c r="FJ2" s="600"/>
      <c r="FK2" s="600"/>
      <c r="FL2" s="600"/>
      <c r="FM2" s="600"/>
      <c r="FN2" s="600"/>
      <c r="FO2" s="600"/>
      <c r="FP2" s="600"/>
      <c r="FQ2" s="600"/>
      <c r="FR2" s="600"/>
      <c r="FS2" s="600"/>
      <c r="FT2" s="600"/>
      <c r="FU2" s="600"/>
      <c r="FV2" s="600"/>
      <c r="FW2" s="600"/>
      <c r="FX2" s="600"/>
      <c r="FY2" s="600"/>
      <c r="FZ2" s="600"/>
      <c r="GA2" s="600"/>
      <c r="GB2" s="600"/>
      <c r="GC2" s="600"/>
      <c r="GD2" s="600"/>
      <c r="GE2" s="600"/>
      <c r="GF2" s="600"/>
      <c r="GG2" s="600"/>
    </row>
    <row r="3" spans="1:189" s="601" customFormat="1" ht="20" customHeight="1" x14ac:dyDescent="0.25">
      <c r="A3" s="602"/>
      <c r="B3" s="608" t="s">
        <v>580</v>
      </c>
      <c r="C3" s="604"/>
      <c r="D3" s="609"/>
      <c r="E3" s="609"/>
      <c r="F3" s="609"/>
      <c r="G3" s="609"/>
      <c r="H3" s="609"/>
      <c r="I3" s="609"/>
      <c r="J3" s="610" t="s">
        <v>637</v>
      </c>
      <c r="K3" s="607"/>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600"/>
      <c r="BH3" s="600"/>
      <c r="BI3" s="600"/>
      <c r="BJ3" s="600"/>
      <c r="BK3" s="600"/>
      <c r="BL3" s="600"/>
      <c r="BM3" s="600"/>
      <c r="BN3" s="600"/>
      <c r="BO3" s="600"/>
      <c r="BP3" s="600"/>
      <c r="BQ3" s="600"/>
      <c r="BR3" s="600"/>
      <c r="BS3" s="600"/>
      <c r="BT3" s="600"/>
      <c r="BU3" s="600"/>
      <c r="BV3" s="600"/>
      <c r="BW3" s="600"/>
      <c r="BX3" s="600"/>
      <c r="BY3" s="600"/>
      <c r="BZ3" s="600"/>
      <c r="CA3" s="600"/>
      <c r="CB3" s="600"/>
      <c r="CC3" s="600"/>
      <c r="CD3" s="600"/>
      <c r="CE3" s="600"/>
      <c r="CF3" s="600"/>
      <c r="CG3" s="600"/>
      <c r="CH3" s="600"/>
      <c r="CI3" s="600"/>
      <c r="CJ3" s="600"/>
      <c r="CK3" s="600"/>
      <c r="CL3" s="600"/>
      <c r="CM3" s="600"/>
      <c r="CN3" s="600"/>
      <c r="CO3" s="600"/>
      <c r="CP3" s="600"/>
      <c r="CQ3" s="600"/>
      <c r="CR3" s="600"/>
      <c r="CS3" s="600"/>
      <c r="CT3" s="600"/>
      <c r="CU3" s="600"/>
      <c r="CV3" s="600"/>
      <c r="CW3" s="600"/>
      <c r="CX3" s="600"/>
      <c r="CY3" s="600"/>
      <c r="CZ3" s="600"/>
      <c r="DA3" s="600"/>
      <c r="DB3" s="600"/>
      <c r="DC3" s="600"/>
      <c r="DD3" s="600"/>
      <c r="DE3" s="600"/>
      <c r="DF3" s="600"/>
      <c r="DG3" s="600"/>
      <c r="DH3" s="600"/>
      <c r="DI3" s="600"/>
      <c r="DJ3" s="600"/>
      <c r="DK3" s="600"/>
      <c r="DL3" s="600"/>
      <c r="DM3" s="600"/>
      <c r="DN3" s="600"/>
      <c r="DO3" s="600"/>
      <c r="DP3" s="600"/>
      <c r="DQ3" s="600"/>
      <c r="DR3" s="600"/>
      <c r="DS3" s="600"/>
      <c r="DT3" s="600"/>
      <c r="DU3" s="600"/>
      <c r="DV3" s="600"/>
      <c r="DW3" s="600"/>
      <c r="DX3" s="600"/>
      <c r="DY3" s="600"/>
      <c r="DZ3" s="600"/>
      <c r="EA3" s="600"/>
      <c r="EB3" s="600"/>
      <c r="EC3" s="600"/>
      <c r="ED3" s="600"/>
      <c r="EE3" s="600"/>
      <c r="EF3" s="600"/>
      <c r="EG3" s="600"/>
      <c r="EH3" s="600"/>
      <c r="EI3" s="600"/>
      <c r="EJ3" s="600"/>
      <c r="EK3" s="600"/>
      <c r="EL3" s="600"/>
      <c r="EM3" s="600"/>
      <c r="EN3" s="600"/>
      <c r="EO3" s="600"/>
      <c r="EP3" s="600"/>
      <c r="EQ3" s="600"/>
      <c r="ER3" s="600"/>
      <c r="ES3" s="600"/>
      <c r="ET3" s="600"/>
      <c r="EU3" s="600"/>
      <c r="EV3" s="600"/>
      <c r="EW3" s="600"/>
      <c r="EX3" s="600"/>
      <c r="EY3" s="600"/>
      <c r="EZ3" s="600"/>
      <c r="FA3" s="600"/>
      <c r="FB3" s="600"/>
      <c r="FC3" s="600"/>
      <c r="FD3" s="600"/>
      <c r="FE3" s="600"/>
      <c r="FF3" s="600"/>
      <c r="FG3" s="600"/>
      <c r="FH3" s="600"/>
      <c r="FI3" s="600"/>
      <c r="FJ3" s="600"/>
      <c r="FK3" s="600"/>
      <c r="FL3" s="600"/>
      <c r="FM3" s="600"/>
      <c r="FN3" s="600"/>
      <c r="FO3" s="600"/>
      <c r="FP3" s="600"/>
      <c r="FQ3" s="600"/>
      <c r="FR3" s="600"/>
      <c r="FS3" s="600"/>
      <c r="FT3" s="600"/>
      <c r="FU3" s="600"/>
      <c r="FV3" s="600"/>
      <c r="FW3" s="600"/>
      <c r="FX3" s="600"/>
      <c r="FY3" s="600"/>
      <c r="FZ3" s="600"/>
      <c r="GA3" s="600"/>
      <c r="GB3" s="600"/>
      <c r="GC3" s="600"/>
      <c r="GD3" s="600"/>
      <c r="GE3" s="600"/>
      <c r="GF3" s="600"/>
      <c r="GG3" s="600"/>
    </row>
    <row r="4" spans="1:189" s="601" customFormat="1" ht="20" customHeight="1" x14ac:dyDescent="0.25">
      <c r="A4" s="602"/>
      <c r="B4" s="608" t="s">
        <v>638</v>
      </c>
      <c r="C4" s="604"/>
      <c r="D4" s="609">
        <v>237050</v>
      </c>
      <c r="E4" s="609">
        <v>237071</v>
      </c>
      <c r="F4" s="609">
        <v>237051</v>
      </c>
      <c r="G4" s="609">
        <v>237056</v>
      </c>
      <c r="H4" s="609">
        <v>237097</v>
      </c>
      <c r="I4" s="609">
        <v>237098</v>
      </c>
      <c r="J4" s="610" t="s">
        <v>639</v>
      </c>
      <c r="K4" s="607"/>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c r="AW4" s="600"/>
      <c r="AX4" s="600"/>
      <c r="AY4" s="600"/>
      <c r="AZ4" s="600"/>
      <c r="BA4" s="600"/>
      <c r="BB4" s="600"/>
      <c r="BC4" s="600"/>
      <c r="BD4" s="600"/>
      <c r="BE4" s="600"/>
      <c r="BF4" s="600"/>
      <c r="BG4" s="600"/>
      <c r="BH4" s="600"/>
      <c r="BI4" s="600"/>
      <c r="BJ4" s="600"/>
      <c r="BK4" s="600"/>
      <c r="BL4" s="600"/>
      <c r="BM4" s="600"/>
      <c r="BN4" s="600"/>
      <c r="BO4" s="600"/>
      <c r="BP4" s="600"/>
      <c r="BQ4" s="600"/>
      <c r="BR4" s="600"/>
      <c r="BS4" s="600"/>
      <c r="BT4" s="600"/>
      <c r="BU4" s="600"/>
      <c r="BV4" s="600"/>
      <c r="BW4" s="600"/>
      <c r="BX4" s="600"/>
      <c r="BY4" s="600"/>
      <c r="BZ4" s="600"/>
      <c r="CA4" s="600"/>
      <c r="CB4" s="600"/>
      <c r="CC4" s="600"/>
      <c r="CD4" s="600"/>
      <c r="CE4" s="600"/>
      <c r="CF4" s="600"/>
      <c r="CG4" s="600"/>
      <c r="CH4" s="600"/>
      <c r="CI4" s="600"/>
      <c r="CJ4" s="600"/>
      <c r="CK4" s="600"/>
      <c r="CL4" s="600"/>
      <c r="CM4" s="600"/>
      <c r="CN4" s="600"/>
      <c r="CO4" s="600"/>
      <c r="CP4" s="600"/>
      <c r="CQ4" s="600"/>
      <c r="CR4" s="600"/>
      <c r="CS4" s="600"/>
      <c r="CT4" s="600"/>
      <c r="CU4" s="600"/>
      <c r="CV4" s="600"/>
      <c r="CW4" s="600"/>
      <c r="CX4" s="600"/>
      <c r="CY4" s="600"/>
      <c r="CZ4" s="600"/>
      <c r="DA4" s="600"/>
      <c r="DB4" s="600"/>
      <c r="DC4" s="600"/>
      <c r="DD4" s="600"/>
      <c r="DE4" s="600"/>
      <c r="DF4" s="600"/>
      <c r="DG4" s="600"/>
      <c r="DH4" s="600"/>
      <c r="DI4" s="600"/>
      <c r="DJ4" s="600"/>
      <c r="DK4" s="600"/>
      <c r="DL4" s="600"/>
      <c r="DM4" s="600"/>
      <c r="DN4" s="600"/>
      <c r="DO4" s="600"/>
      <c r="DP4" s="600"/>
      <c r="DQ4" s="600"/>
      <c r="DR4" s="600"/>
      <c r="DS4" s="600"/>
      <c r="DT4" s="600"/>
      <c r="DU4" s="600"/>
      <c r="DV4" s="600"/>
      <c r="DW4" s="600"/>
      <c r="DX4" s="600"/>
      <c r="DY4" s="600"/>
      <c r="DZ4" s="600"/>
      <c r="EA4" s="600"/>
      <c r="EB4" s="600"/>
      <c r="EC4" s="600"/>
      <c r="ED4" s="600"/>
      <c r="EE4" s="600"/>
      <c r="EF4" s="600"/>
      <c r="EG4" s="600"/>
      <c r="EH4" s="600"/>
      <c r="EI4" s="600"/>
      <c r="EJ4" s="600"/>
      <c r="EK4" s="600"/>
      <c r="EL4" s="600"/>
      <c r="EM4" s="600"/>
      <c r="EN4" s="600"/>
      <c r="EO4" s="600"/>
      <c r="EP4" s="600"/>
      <c r="EQ4" s="600"/>
      <c r="ER4" s="600"/>
      <c r="ES4" s="600"/>
      <c r="ET4" s="600"/>
      <c r="EU4" s="600"/>
      <c r="EV4" s="600"/>
      <c r="EW4" s="600"/>
      <c r="EX4" s="600"/>
      <c r="EY4" s="600"/>
      <c r="EZ4" s="600"/>
      <c r="FA4" s="600"/>
      <c r="FB4" s="600"/>
      <c r="FC4" s="600"/>
      <c r="FD4" s="600"/>
      <c r="FE4" s="600"/>
      <c r="FF4" s="600"/>
      <c r="FG4" s="600"/>
      <c r="FH4" s="600"/>
      <c r="FI4" s="600"/>
      <c r="FJ4" s="600"/>
      <c r="FK4" s="600"/>
      <c r="FL4" s="600"/>
      <c r="FM4" s="600"/>
      <c r="FN4" s="600"/>
      <c r="FO4" s="600"/>
      <c r="FP4" s="600"/>
      <c r="FQ4" s="600"/>
      <c r="FR4" s="600"/>
      <c r="FS4" s="600"/>
      <c r="FT4" s="600"/>
      <c r="FU4" s="600"/>
      <c r="FV4" s="600"/>
      <c r="FW4" s="600"/>
      <c r="FX4" s="600"/>
      <c r="FY4" s="600"/>
      <c r="FZ4" s="600"/>
      <c r="GA4" s="600"/>
      <c r="GB4" s="600"/>
      <c r="GC4" s="600"/>
      <c r="GD4" s="600"/>
      <c r="GE4" s="600"/>
      <c r="GF4" s="600"/>
      <c r="GG4" s="600"/>
    </row>
    <row r="5" spans="1:189" s="601" customFormat="1" ht="20" customHeight="1" x14ac:dyDescent="0.25">
      <c r="A5" s="602"/>
      <c r="B5" s="608" t="s">
        <v>640</v>
      </c>
      <c r="C5" s="604"/>
      <c r="D5" s="611" t="s">
        <v>641</v>
      </c>
      <c r="E5" s="611" t="s">
        <v>642</v>
      </c>
      <c r="F5" s="611" t="s">
        <v>643</v>
      </c>
      <c r="G5" s="611" t="s">
        <v>644</v>
      </c>
      <c r="H5" s="611" t="s">
        <v>645</v>
      </c>
      <c r="I5" s="611" t="s">
        <v>645</v>
      </c>
      <c r="J5" s="610" t="s">
        <v>646</v>
      </c>
      <c r="K5" s="607"/>
      <c r="L5" s="600"/>
      <c r="M5" s="600"/>
      <c r="N5" s="600"/>
      <c r="O5" s="600"/>
      <c r="P5" s="600"/>
      <c r="Q5" s="600"/>
      <c r="R5" s="600"/>
      <c r="S5" s="600"/>
      <c r="T5" s="600"/>
      <c r="U5" s="600"/>
      <c r="V5" s="600"/>
      <c r="W5" s="600"/>
      <c r="X5" s="600"/>
      <c r="Y5" s="600"/>
      <c r="Z5" s="600"/>
      <c r="AA5" s="600"/>
      <c r="AB5" s="600"/>
      <c r="AC5" s="600"/>
      <c r="AD5" s="600"/>
      <c r="AE5" s="600"/>
      <c r="AF5" s="600"/>
      <c r="AG5" s="600"/>
      <c r="AH5" s="600"/>
      <c r="AI5" s="600"/>
      <c r="AJ5" s="600"/>
      <c r="AK5" s="600"/>
      <c r="AL5" s="600"/>
      <c r="AM5" s="600"/>
      <c r="AN5" s="600"/>
      <c r="AO5" s="600"/>
      <c r="AP5" s="600"/>
      <c r="AQ5" s="600"/>
      <c r="AR5" s="600"/>
      <c r="AS5" s="600"/>
      <c r="AT5" s="600"/>
      <c r="AU5" s="600"/>
      <c r="AV5" s="600"/>
      <c r="AW5" s="600"/>
      <c r="AX5" s="600"/>
      <c r="AY5" s="600"/>
      <c r="AZ5" s="600"/>
      <c r="BA5" s="600"/>
      <c r="BB5" s="600"/>
      <c r="BC5" s="600"/>
      <c r="BD5" s="600"/>
      <c r="BE5" s="600"/>
      <c r="BF5" s="600"/>
      <c r="BG5" s="600"/>
      <c r="BH5" s="600"/>
      <c r="BI5" s="600"/>
      <c r="BJ5" s="600"/>
      <c r="BK5" s="600"/>
      <c r="BL5" s="600"/>
      <c r="BM5" s="600"/>
      <c r="BN5" s="600"/>
      <c r="BO5" s="600"/>
      <c r="BP5" s="600"/>
      <c r="BQ5" s="600"/>
      <c r="BR5" s="600"/>
      <c r="BS5" s="600"/>
      <c r="BT5" s="600"/>
      <c r="BU5" s="600"/>
      <c r="BV5" s="600"/>
      <c r="BW5" s="600"/>
      <c r="BX5" s="600"/>
      <c r="BY5" s="600"/>
      <c r="BZ5" s="600"/>
      <c r="CA5" s="600"/>
      <c r="CB5" s="600"/>
      <c r="CC5" s="600"/>
      <c r="CD5" s="600"/>
      <c r="CE5" s="600"/>
      <c r="CF5" s="600"/>
      <c r="CG5" s="600"/>
      <c r="CH5" s="600"/>
      <c r="CI5" s="600"/>
      <c r="CJ5" s="600"/>
      <c r="CK5" s="600"/>
      <c r="CL5" s="600"/>
      <c r="CM5" s="600"/>
      <c r="CN5" s="600"/>
      <c r="CO5" s="600"/>
      <c r="CP5" s="600"/>
      <c r="CQ5" s="600"/>
      <c r="CR5" s="600"/>
      <c r="CS5" s="600"/>
      <c r="CT5" s="600"/>
      <c r="CU5" s="600"/>
      <c r="CV5" s="600"/>
      <c r="CW5" s="600"/>
      <c r="CX5" s="600"/>
      <c r="CY5" s="600"/>
      <c r="CZ5" s="600"/>
      <c r="DA5" s="600"/>
      <c r="DB5" s="600"/>
      <c r="DC5" s="600"/>
      <c r="DD5" s="600"/>
      <c r="DE5" s="600"/>
      <c r="DF5" s="600"/>
      <c r="DG5" s="600"/>
      <c r="DH5" s="600"/>
      <c r="DI5" s="600"/>
      <c r="DJ5" s="600"/>
      <c r="DK5" s="600"/>
      <c r="DL5" s="600"/>
      <c r="DM5" s="600"/>
      <c r="DN5" s="600"/>
      <c r="DO5" s="600"/>
      <c r="DP5" s="600"/>
      <c r="DQ5" s="600"/>
      <c r="DR5" s="600"/>
      <c r="DS5" s="600"/>
      <c r="DT5" s="600"/>
      <c r="DU5" s="600"/>
      <c r="DV5" s="600"/>
      <c r="DW5" s="600"/>
      <c r="DX5" s="600"/>
      <c r="DY5" s="600"/>
      <c r="DZ5" s="600"/>
      <c r="EA5" s="600"/>
      <c r="EB5" s="600"/>
      <c r="EC5" s="600"/>
      <c r="ED5" s="600"/>
      <c r="EE5" s="600"/>
      <c r="EF5" s="600"/>
      <c r="EG5" s="600"/>
      <c r="EH5" s="600"/>
      <c r="EI5" s="600"/>
      <c r="EJ5" s="600"/>
      <c r="EK5" s="600"/>
      <c r="EL5" s="600"/>
      <c r="EM5" s="600"/>
      <c r="EN5" s="600"/>
      <c r="EO5" s="600"/>
      <c r="EP5" s="600"/>
      <c r="EQ5" s="600"/>
      <c r="ER5" s="600"/>
      <c r="ES5" s="600"/>
      <c r="ET5" s="600"/>
      <c r="EU5" s="600"/>
      <c r="EV5" s="600"/>
      <c r="EW5" s="600"/>
      <c r="EX5" s="600"/>
      <c r="EY5" s="600"/>
      <c r="EZ5" s="600"/>
      <c r="FA5" s="600"/>
      <c r="FB5" s="600"/>
      <c r="FC5" s="600"/>
      <c r="FD5" s="600"/>
      <c r="FE5" s="600"/>
      <c r="FF5" s="600"/>
      <c r="FG5" s="600"/>
      <c r="FH5" s="600"/>
      <c r="FI5" s="600"/>
      <c r="FJ5" s="600"/>
      <c r="FK5" s="600"/>
      <c r="FL5" s="600"/>
      <c r="FM5" s="600"/>
      <c r="FN5" s="600"/>
      <c r="FO5" s="600"/>
      <c r="FP5" s="600"/>
      <c r="FQ5" s="600"/>
      <c r="FR5" s="600"/>
      <c r="FS5" s="600"/>
      <c r="FT5" s="600"/>
      <c r="FU5" s="600"/>
      <c r="FV5" s="600"/>
      <c r="FW5" s="600"/>
      <c r="FX5" s="600"/>
      <c r="FY5" s="600"/>
      <c r="FZ5" s="600"/>
      <c r="GA5" s="600"/>
      <c r="GB5" s="600"/>
      <c r="GC5" s="600"/>
      <c r="GD5" s="600"/>
      <c r="GE5" s="600"/>
      <c r="GF5" s="600"/>
      <c r="GG5" s="600"/>
    </row>
    <row r="6" spans="1:189" ht="20" customHeight="1" x14ac:dyDescent="0.2">
      <c r="A6" s="612" t="s">
        <v>647</v>
      </c>
      <c r="B6" s="613" t="s">
        <v>648</v>
      </c>
      <c r="C6" s="614"/>
      <c r="D6" s="615"/>
      <c r="E6" s="615"/>
      <c r="F6" s="615"/>
      <c r="G6" s="615"/>
      <c r="H6" s="615"/>
      <c r="I6" s="615"/>
      <c r="J6" s="616"/>
      <c r="K6" s="607"/>
    </row>
    <row r="7" spans="1:189" s="623" customFormat="1" ht="7" customHeight="1" x14ac:dyDescent="0.15">
      <c r="A7" s="617"/>
      <c r="B7" s="618"/>
      <c r="C7" s="619"/>
      <c r="D7" s="620"/>
      <c r="E7" s="620"/>
      <c r="F7" s="620"/>
      <c r="G7" s="620"/>
      <c r="H7" s="620"/>
      <c r="I7" s="620"/>
      <c r="J7" s="621"/>
      <c r="K7" s="622"/>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0"/>
      <c r="AL7" s="600"/>
      <c r="AM7" s="600"/>
      <c r="AN7" s="600"/>
      <c r="AO7" s="600"/>
      <c r="AP7" s="600"/>
      <c r="AQ7" s="600"/>
      <c r="AR7" s="600"/>
      <c r="AS7" s="600"/>
      <c r="AT7" s="600"/>
      <c r="AU7" s="600"/>
      <c r="AV7" s="600"/>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600"/>
      <c r="CB7" s="600"/>
      <c r="CC7" s="600"/>
      <c r="CD7" s="600"/>
      <c r="CE7" s="600"/>
      <c r="CF7" s="600"/>
      <c r="CG7" s="600"/>
      <c r="CH7" s="600"/>
      <c r="CI7" s="600"/>
      <c r="CJ7" s="600"/>
      <c r="CK7" s="600"/>
      <c r="CL7" s="600"/>
      <c r="CM7" s="600"/>
      <c r="CN7" s="600"/>
      <c r="CO7" s="600"/>
      <c r="CP7" s="600"/>
      <c r="CQ7" s="600"/>
      <c r="CR7" s="600"/>
      <c r="CS7" s="600"/>
      <c r="CT7" s="600"/>
      <c r="CU7" s="600"/>
      <c r="CV7" s="600"/>
      <c r="CW7" s="600"/>
      <c r="CX7" s="600"/>
      <c r="CY7" s="600"/>
      <c r="CZ7" s="600"/>
      <c r="DA7" s="600"/>
      <c r="DB7" s="600"/>
      <c r="DC7" s="600"/>
      <c r="DD7" s="600"/>
      <c r="DE7" s="600"/>
      <c r="DF7" s="600"/>
      <c r="DG7" s="600"/>
      <c r="DH7" s="600"/>
      <c r="DI7" s="600"/>
      <c r="DJ7" s="600"/>
      <c r="DK7" s="600"/>
      <c r="DL7" s="600"/>
      <c r="DM7" s="600"/>
      <c r="DN7" s="600"/>
      <c r="DO7" s="600"/>
      <c r="DP7" s="600"/>
      <c r="DQ7" s="600"/>
      <c r="DR7" s="600"/>
      <c r="DS7" s="600"/>
      <c r="DT7" s="600"/>
      <c r="DU7" s="600"/>
      <c r="DV7" s="600"/>
      <c r="DW7" s="600"/>
      <c r="DX7" s="600"/>
      <c r="DY7" s="600"/>
      <c r="DZ7" s="600"/>
      <c r="EA7" s="600"/>
      <c r="EB7" s="600"/>
      <c r="EC7" s="600"/>
      <c r="ED7" s="600"/>
      <c r="EE7" s="600"/>
      <c r="EF7" s="600"/>
      <c r="EG7" s="600"/>
      <c r="EH7" s="600"/>
      <c r="EI7" s="600"/>
      <c r="EJ7" s="600"/>
      <c r="EK7" s="600"/>
      <c r="EL7" s="600"/>
      <c r="EM7" s="600"/>
      <c r="EN7" s="600"/>
      <c r="EO7" s="600"/>
      <c r="EP7" s="600"/>
      <c r="EQ7" s="600"/>
      <c r="ER7" s="600"/>
      <c r="ES7" s="600"/>
      <c r="ET7" s="600"/>
      <c r="EU7" s="600"/>
      <c r="EV7" s="600"/>
      <c r="EW7" s="600"/>
      <c r="EX7" s="600"/>
      <c r="EY7" s="600"/>
      <c r="EZ7" s="600"/>
      <c r="FA7" s="600"/>
      <c r="FB7" s="600"/>
      <c r="FC7" s="600"/>
      <c r="FD7" s="600"/>
      <c r="FE7" s="600"/>
      <c r="FF7" s="600"/>
      <c r="FG7" s="600"/>
      <c r="FH7" s="600"/>
      <c r="FI7" s="600"/>
      <c r="FJ7" s="600"/>
      <c r="FK7" s="600"/>
      <c r="FL7" s="600"/>
      <c r="FM7" s="600"/>
      <c r="FN7" s="600"/>
      <c r="FO7" s="600"/>
      <c r="FP7" s="600"/>
      <c r="FQ7" s="600"/>
      <c r="FR7" s="600"/>
      <c r="FS7" s="600"/>
      <c r="FT7" s="600"/>
      <c r="FU7" s="600"/>
      <c r="FV7" s="600"/>
      <c r="FW7" s="600"/>
      <c r="FX7" s="600"/>
      <c r="FY7" s="600"/>
      <c r="FZ7" s="600"/>
      <c r="GA7" s="600"/>
      <c r="GB7" s="600"/>
      <c r="GC7" s="600"/>
      <c r="GD7" s="600"/>
      <c r="GE7" s="600"/>
      <c r="GF7" s="600"/>
      <c r="GG7" s="600"/>
    </row>
    <row r="8" spans="1:189" ht="20" customHeight="1" x14ac:dyDescent="0.2">
      <c r="A8" s="612">
        <v>1000</v>
      </c>
      <c r="B8" s="624" t="s">
        <v>649</v>
      </c>
      <c r="C8" s="614"/>
      <c r="D8" s="625"/>
      <c r="E8" s="625"/>
      <c r="F8" s="625"/>
      <c r="G8" s="625"/>
      <c r="H8" s="625"/>
      <c r="I8" s="625">
        <v>205000</v>
      </c>
      <c r="J8" s="626">
        <f>SUM(D8:I8)</f>
        <v>205000</v>
      </c>
      <c r="K8" s="627"/>
    </row>
    <row r="9" spans="1:189" ht="20" customHeight="1" x14ac:dyDescent="0.2">
      <c r="A9" s="612">
        <v>2000</v>
      </c>
      <c r="B9" s="624" t="s">
        <v>650</v>
      </c>
      <c r="C9" s="614"/>
      <c r="D9" s="625"/>
      <c r="E9" s="625"/>
      <c r="F9" s="625"/>
      <c r="G9" s="625"/>
      <c r="H9" s="625">
        <v>254832</v>
      </c>
      <c r="I9" s="625">
        <v>100000</v>
      </c>
      <c r="J9" s="626">
        <f>SUM(D9:I9)</f>
        <v>354832</v>
      </c>
      <c r="K9" s="627"/>
    </row>
    <row r="10" spans="1:189" ht="20" customHeight="1" x14ac:dyDescent="0.2">
      <c r="A10" s="612">
        <v>3000</v>
      </c>
      <c r="B10" s="624" t="s">
        <v>651</v>
      </c>
      <c r="C10" s="614"/>
      <c r="D10" s="625"/>
      <c r="E10" s="625"/>
      <c r="F10" s="625"/>
      <c r="G10" s="625">
        <f>(G8+G9)*30</f>
        <v>0</v>
      </c>
      <c r="H10" s="625">
        <f>H9*0.5</f>
        <v>127416</v>
      </c>
      <c r="I10" s="625">
        <f>(I8*0.35)+(I9*0.5)</f>
        <v>121750</v>
      </c>
      <c r="J10" s="626">
        <f>SUM(D10:I10)</f>
        <v>249166</v>
      </c>
      <c r="K10" s="627"/>
    </row>
    <row r="11" spans="1:189" ht="20" customHeight="1" x14ac:dyDescent="0.2">
      <c r="A11" s="612">
        <v>4000</v>
      </c>
      <c r="B11" s="624" t="s">
        <v>652</v>
      </c>
      <c r="C11" s="614"/>
      <c r="D11" s="625"/>
      <c r="E11" s="625"/>
      <c r="F11" s="625"/>
      <c r="G11" s="625"/>
      <c r="H11" s="625"/>
      <c r="I11" s="625">
        <v>1602</v>
      </c>
      <c r="J11" s="626">
        <f>SUM(D11:I11)</f>
        <v>1602</v>
      </c>
      <c r="K11" s="627"/>
    </row>
    <row r="12" spans="1:189" ht="20" customHeight="1" x14ac:dyDescent="0.2">
      <c r="A12" s="612">
        <v>5000</v>
      </c>
      <c r="B12" s="624" t="s">
        <v>653</v>
      </c>
      <c r="C12" s="614"/>
      <c r="D12" s="625"/>
      <c r="E12" s="625"/>
      <c r="F12" s="625"/>
      <c r="G12" s="625"/>
      <c r="H12" s="625">
        <v>2150</v>
      </c>
      <c r="I12" s="625"/>
      <c r="J12" s="626">
        <f>SUM(D12:I12)</f>
        <v>2150</v>
      </c>
      <c r="K12" s="627"/>
    </row>
    <row r="13" spans="1:189" ht="20" customHeight="1" x14ac:dyDescent="0.2">
      <c r="A13" s="612">
        <v>6000</v>
      </c>
      <c r="B13" s="624" t="s">
        <v>654</v>
      </c>
      <c r="C13" s="614"/>
      <c r="D13" s="625"/>
      <c r="E13" s="625"/>
      <c r="F13" s="625"/>
      <c r="G13" s="625"/>
      <c r="H13" s="625"/>
      <c r="I13" s="625"/>
      <c r="J13" s="626">
        <f>SUM(D13:I13)</f>
        <v>0</v>
      </c>
      <c r="K13" s="627"/>
    </row>
    <row r="14" spans="1:189" ht="20" customHeight="1" thickBot="1" x14ac:dyDescent="0.25">
      <c r="A14" s="628">
        <v>5218</v>
      </c>
      <c r="B14" s="629" t="s">
        <v>655</v>
      </c>
      <c r="C14" s="614"/>
      <c r="D14" s="630"/>
      <c r="E14" s="630"/>
      <c r="F14" s="630"/>
      <c r="G14" s="630"/>
      <c r="H14" s="630"/>
      <c r="I14" s="630"/>
      <c r="J14" s="631"/>
      <c r="K14" s="632"/>
    </row>
    <row r="15" spans="1:189" ht="20" customHeight="1" thickTop="1" x14ac:dyDescent="0.2">
      <c r="A15" s="633"/>
      <c r="B15" s="634" t="s">
        <v>656</v>
      </c>
      <c r="C15" s="614"/>
      <c r="D15" s="635">
        <f t="shared" ref="D15:H15" si="0">SUM(D8:D14)</f>
        <v>0</v>
      </c>
      <c r="E15" s="635">
        <f t="shared" si="0"/>
        <v>0</v>
      </c>
      <c r="F15" s="635">
        <f t="shared" si="0"/>
        <v>0</v>
      </c>
      <c r="G15" s="635">
        <f t="shared" si="0"/>
        <v>0</v>
      </c>
      <c r="H15" s="635">
        <f t="shared" si="0"/>
        <v>384398</v>
      </c>
      <c r="I15" s="635">
        <f>SUM(I8:I14)</f>
        <v>428352</v>
      </c>
      <c r="J15" s="636">
        <f>SUM(D15:I15)</f>
        <v>812750</v>
      </c>
      <c r="K15" s="637"/>
    </row>
    <row r="16" spans="1:189" ht="20" customHeight="1" x14ac:dyDescent="0.2">
      <c r="A16" s="638"/>
      <c r="B16" s="639" t="s">
        <v>657</v>
      </c>
      <c r="C16" s="640"/>
      <c r="D16" s="641"/>
      <c r="E16" s="641"/>
      <c r="F16" s="641"/>
      <c r="G16" s="641"/>
      <c r="H16" s="641"/>
      <c r="I16" s="641"/>
      <c r="J16" s="642">
        <v>812750</v>
      </c>
      <c r="K16" s="643"/>
    </row>
    <row r="17" spans="1:11" ht="20" hidden="1" customHeight="1" x14ac:dyDescent="0.15">
      <c r="A17" s="644"/>
      <c r="B17" s="645"/>
      <c r="C17" s="646"/>
      <c r="D17" s="647">
        <f t="shared" ref="D17:I17" si="1">D16-D15</f>
        <v>0</v>
      </c>
      <c r="E17" s="647">
        <f t="shared" si="1"/>
        <v>0</v>
      </c>
      <c r="F17" s="647">
        <f t="shared" si="1"/>
        <v>0</v>
      </c>
      <c r="G17" s="647">
        <f t="shared" si="1"/>
        <v>0</v>
      </c>
      <c r="H17" s="647">
        <f t="shared" si="1"/>
        <v>-384398</v>
      </c>
      <c r="I17" s="647">
        <f t="shared" si="1"/>
        <v>-428352</v>
      </c>
      <c r="J17" s="648"/>
      <c r="K17" s="649"/>
    </row>
    <row r="18" spans="1:11" ht="20" customHeight="1" x14ac:dyDescent="0.15">
      <c r="C18" s="600"/>
      <c r="D18" s="650"/>
      <c r="F18" s="650"/>
      <c r="G18" s="650"/>
      <c r="H18" s="651"/>
      <c r="I18" s="652"/>
      <c r="J18" s="650"/>
      <c r="K18" s="650"/>
    </row>
    <row r="19" spans="1:11" ht="20" hidden="1" customHeight="1" x14ac:dyDescent="0.15">
      <c r="A19" s="653"/>
      <c r="B19" s="654" t="s">
        <v>635</v>
      </c>
      <c r="C19" s="655"/>
      <c r="D19" s="656"/>
      <c r="E19" s="656"/>
      <c r="F19" s="656"/>
      <c r="G19" s="657"/>
      <c r="H19" s="658"/>
      <c r="I19" s="659"/>
      <c r="J19" s="660"/>
      <c r="K19" s="661"/>
    </row>
    <row r="20" spans="1:11" ht="20" hidden="1" customHeight="1" x14ac:dyDescent="0.2">
      <c r="A20" s="662"/>
      <c r="B20" s="603" t="s">
        <v>636</v>
      </c>
      <c r="C20" s="663"/>
      <c r="D20" s="605"/>
      <c r="E20" s="605"/>
      <c r="F20" s="605"/>
      <c r="G20" s="605"/>
      <c r="H20" s="664"/>
      <c r="I20" s="665"/>
      <c r="J20" s="606"/>
      <c r="K20" s="666"/>
    </row>
    <row r="21" spans="1:11" ht="20" hidden="1" customHeight="1" x14ac:dyDescent="0.25">
      <c r="A21" s="662"/>
      <c r="B21" s="608" t="s">
        <v>580</v>
      </c>
      <c r="C21" s="663"/>
      <c r="D21" s="609"/>
      <c r="E21" s="609"/>
      <c r="F21" s="609"/>
      <c r="G21" s="667"/>
      <c r="H21" s="668"/>
      <c r="I21" s="669"/>
      <c r="J21" s="610" t="s">
        <v>658</v>
      </c>
      <c r="K21" s="666"/>
    </row>
    <row r="22" spans="1:11" ht="20" hidden="1" customHeight="1" x14ac:dyDescent="0.25">
      <c r="A22" s="662"/>
      <c r="B22" s="608" t="s">
        <v>638</v>
      </c>
      <c r="C22" s="663"/>
      <c r="D22" s="609"/>
      <c r="E22" s="609"/>
      <c r="F22" s="609"/>
      <c r="G22" s="667"/>
      <c r="H22" s="668"/>
      <c r="I22" s="669"/>
      <c r="J22" s="610" t="s">
        <v>659</v>
      </c>
      <c r="K22" s="666"/>
    </row>
    <row r="23" spans="1:11" ht="20" hidden="1" customHeight="1" x14ac:dyDescent="0.25">
      <c r="A23" s="662"/>
      <c r="B23" s="608" t="s">
        <v>640</v>
      </c>
      <c r="C23" s="663"/>
      <c r="D23" s="611"/>
      <c r="E23" s="611"/>
      <c r="F23" s="611"/>
      <c r="G23" s="670"/>
      <c r="H23" s="671"/>
      <c r="I23" s="672"/>
      <c r="J23" s="610" t="s">
        <v>660</v>
      </c>
      <c r="K23" s="666"/>
    </row>
    <row r="24" spans="1:11" ht="20" hidden="1" customHeight="1" x14ac:dyDescent="0.2">
      <c r="A24" s="673" t="s">
        <v>647</v>
      </c>
      <c r="B24" s="613" t="s">
        <v>648</v>
      </c>
      <c r="C24" s="674"/>
      <c r="D24" s="615"/>
      <c r="E24" s="615"/>
      <c r="F24" s="615"/>
      <c r="G24" s="675"/>
      <c r="H24" s="676"/>
      <c r="I24" s="677"/>
      <c r="J24" s="616"/>
      <c r="K24" s="666"/>
    </row>
    <row r="25" spans="1:11" ht="7.5" hidden="1" customHeight="1" x14ac:dyDescent="0.15">
      <c r="A25" s="619"/>
      <c r="B25" s="618"/>
      <c r="C25" s="678"/>
      <c r="D25" s="620"/>
      <c r="E25" s="620"/>
      <c r="F25" s="620"/>
      <c r="G25" s="620"/>
      <c r="H25" s="679"/>
      <c r="I25" s="680"/>
      <c r="J25" s="621"/>
      <c r="K25" s="681"/>
    </row>
    <row r="26" spans="1:11" ht="20" hidden="1" customHeight="1" x14ac:dyDescent="0.2">
      <c r="A26" s="673">
        <v>1000</v>
      </c>
      <c r="B26" s="624" t="s">
        <v>649</v>
      </c>
      <c r="C26" s="674"/>
      <c r="D26" s="625"/>
      <c r="E26" s="625"/>
      <c r="F26" s="625"/>
      <c r="G26" s="625"/>
      <c r="H26" s="682"/>
      <c r="I26" s="683"/>
      <c r="J26" s="626"/>
      <c r="K26" s="684"/>
    </row>
    <row r="27" spans="1:11" ht="20" hidden="1" customHeight="1" x14ac:dyDescent="0.2">
      <c r="A27" s="673">
        <v>2000</v>
      </c>
      <c r="B27" s="624" t="s">
        <v>650</v>
      </c>
      <c r="C27" s="674"/>
      <c r="D27" s="625"/>
      <c r="E27" s="625"/>
      <c r="F27" s="625"/>
      <c r="G27" s="625"/>
      <c r="H27" s="682"/>
      <c r="I27" s="683"/>
      <c r="J27" s="626"/>
      <c r="K27" s="684"/>
    </row>
    <row r="28" spans="1:11" ht="20" hidden="1" customHeight="1" x14ac:dyDescent="0.2">
      <c r="A28" s="673">
        <v>3000</v>
      </c>
      <c r="B28" s="624" t="s">
        <v>651</v>
      </c>
      <c r="C28" s="674"/>
      <c r="D28" s="625"/>
      <c r="E28" s="625"/>
      <c r="F28" s="625"/>
      <c r="G28" s="625"/>
      <c r="H28" s="682"/>
      <c r="I28" s="683"/>
      <c r="J28" s="626"/>
      <c r="K28" s="684"/>
    </row>
    <row r="29" spans="1:11" ht="20" hidden="1" customHeight="1" x14ac:dyDescent="0.2">
      <c r="A29" s="673">
        <v>4000</v>
      </c>
      <c r="B29" s="624" t="s">
        <v>652</v>
      </c>
      <c r="C29" s="674"/>
      <c r="D29" s="625"/>
      <c r="E29" s="625"/>
      <c r="F29" s="625"/>
      <c r="G29" s="625"/>
      <c r="H29" s="682"/>
      <c r="I29" s="683"/>
      <c r="J29" s="626"/>
      <c r="K29" s="684"/>
    </row>
    <row r="30" spans="1:11" ht="20" hidden="1" customHeight="1" x14ac:dyDescent="0.2">
      <c r="A30" s="673">
        <v>5000</v>
      </c>
      <c r="B30" s="624" t="s">
        <v>653</v>
      </c>
      <c r="C30" s="674"/>
      <c r="D30" s="625"/>
      <c r="E30" s="625"/>
      <c r="F30" s="625"/>
      <c r="G30" s="625"/>
      <c r="H30" s="682"/>
      <c r="I30" s="683"/>
      <c r="J30" s="626"/>
      <c r="K30" s="684"/>
    </row>
    <row r="31" spans="1:11" ht="20" hidden="1" customHeight="1" x14ac:dyDescent="0.2">
      <c r="A31" s="673">
        <v>6000</v>
      </c>
      <c r="B31" s="624" t="s">
        <v>654</v>
      </c>
      <c r="C31" s="674"/>
      <c r="D31" s="625"/>
      <c r="E31" s="625"/>
      <c r="F31" s="625"/>
      <c r="G31" s="625"/>
      <c r="H31" s="682"/>
      <c r="I31" s="683"/>
      <c r="J31" s="626"/>
      <c r="K31" s="684"/>
    </row>
    <row r="32" spans="1:11" ht="20" hidden="1" customHeight="1" x14ac:dyDescent="0.2">
      <c r="A32" s="685">
        <v>5218</v>
      </c>
      <c r="B32" s="629" t="s">
        <v>655</v>
      </c>
      <c r="C32" s="674"/>
      <c r="D32" s="630"/>
      <c r="E32" s="630"/>
      <c r="F32" s="630"/>
      <c r="G32" s="630"/>
      <c r="H32" s="686"/>
      <c r="I32" s="687"/>
      <c r="J32" s="631"/>
      <c r="K32" s="688"/>
    </row>
    <row r="33" spans="1:11" ht="20" hidden="1" customHeight="1" x14ac:dyDescent="0.2">
      <c r="A33" s="689"/>
      <c r="B33" s="634" t="s">
        <v>660</v>
      </c>
      <c r="C33" s="614"/>
      <c r="D33" s="635"/>
      <c r="E33" s="635"/>
      <c r="F33" s="635"/>
      <c r="G33" s="635"/>
      <c r="H33" s="690"/>
      <c r="I33" s="691"/>
      <c r="J33" s="636"/>
      <c r="K33" s="692"/>
    </row>
    <row r="34" spans="1:11" ht="20" hidden="1" customHeight="1" x14ac:dyDescent="0.2">
      <c r="A34" s="689"/>
      <c r="B34" s="639" t="s">
        <v>661</v>
      </c>
      <c r="C34" s="693"/>
      <c r="D34" s="694"/>
      <c r="E34" s="694"/>
      <c r="F34" s="694"/>
      <c r="G34" s="694"/>
      <c r="H34" s="695"/>
      <c r="I34" s="696"/>
      <c r="J34" s="697"/>
      <c r="K34" s="698"/>
    </row>
    <row r="35" spans="1:11" ht="20" hidden="1" customHeight="1" x14ac:dyDescent="0.15">
      <c r="A35" s="644"/>
      <c r="B35" s="699"/>
      <c r="C35" s="646"/>
      <c r="D35" s="647"/>
      <c r="E35" s="647"/>
      <c r="F35" s="647"/>
      <c r="G35" s="647"/>
      <c r="H35" s="700"/>
      <c r="I35" s="701"/>
      <c r="J35" s="648"/>
      <c r="K35" s="649"/>
    </row>
    <row r="36" spans="1:11" hidden="1" x14ac:dyDescent="0.15">
      <c r="C36" s="600"/>
      <c r="H36" s="702"/>
      <c r="I36" s="652"/>
    </row>
    <row r="37" spans="1:11" hidden="1" x14ac:dyDescent="0.15">
      <c r="C37" s="600"/>
      <c r="H37" s="702"/>
      <c r="I37" s="652"/>
    </row>
    <row r="38" spans="1:11" hidden="1" x14ac:dyDescent="0.15">
      <c r="G38" s="704"/>
      <c r="H38" s="702"/>
      <c r="I38" s="652"/>
    </row>
    <row r="39" spans="1:11" x14ac:dyDescent="0.15">
      <c r="H39" s="651"/>
      <c r="I39" s="652"/>
    </row>
    <row r="40" spans="1:11" x14ac:dyDescent="0.15">
      <c r="H40" s="651"/>
    </row>
    <row r="41" spans="1:11" x14ac:dyDescent="0.15">
      <c r="H41" s="702"/>
    </row>
    <row r="43" spans="1:11" x14ac:dyDescent="0.15">
      <c r="K43" s="651"/>
    </row>
  </sheetData>
  <mergeCells count="20">
    <mergeCell ref="J34:K34"/>
    <mergeCell ref="J35:K35"/>
    <mergeCell ref="J28:K28"/>
    <mergeCell ref="J29:K29"/>
    <mergeCell ref="J30:K30"/>
    <mergeCell ref="J31:K31"/>
    <mergeCell ref="J32:K32"/>
    <mergeCell ref="J33:K33"/>
    <mergeCell ref="J14:K14"/>
    <mergeCell ref="J15:K15"/>
    <mergeCell ref="J16:K16"/>
    <mergeCell ref="J17:K17"/>
    <mergeCell ref="J26:K26"/>
    <mergeCell ref="J27:K27"/>
    <mergeCell ref="J8:K8"/>
    <mergeCell ref="J9:K9"/>
    <mergeCell ref="J10:K10"/>
    <mergeCell ref="J11:K11"/>
    <mergeCell ref="J12:K12"/>
    <mergeCell ref="J13:K13"/>
  </mergeCells>
  <conditionalFormatting sqref="D35:J35 D17:K17">
    <cfRule type="cellIs" dxfId="1" priority="1" stopIfTrue="1" operator="lessThan">
      <formula>0</formula>
    </cfRule>
    <cfRule type="cellIs" dxfId="0" priority="2" stopIfTrue="1" operator="greaterThan">
      <formula>0</formula>
    </cfRule>
  </conditionalFormatting>
  <printOptions horizontalCentered="1" verticalCentered="1"/>
  <pageMargins left="0.2" right="0.2" top="1" bottom="0.25" header="0.5" footer="0.25"/>
  <pageSetup scale="70" orientation="landscape" r:id="rId1"/>
  <headerFooter alignWithMargins="0">
    <oddHeader>&amp;LDe Anza College&amp;C&amp;"Arial,Bold"&amp;11Strong Workforce Program - Regional Share
Round 7 - Fund TBD
Proposed Budget&amp;R&amp;"Arial,Bold"&amp;12 7/1/2022 to 12/31/2024</oddHeader>
    <oddFooter>&amp;LUpdated: 12/5/2022&amp;CRevised Allocation $812,750&amp;RPrepared by Margaret Bdzil
CTE and Workforce Dev.</oddFooter>
    <firstHeader>&amp;LDe Anza College&amp;C&amp;"Arial,Bold"&amp;12Strong Workforce Program - Regional Share 
Round 4 - Fund 135052
 Proposed Budget
&amp;R&amp;"Arial,Bold" 7/1/2020 to 12/31/2021</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599-6C74-784C-A6FC-D46D17B1928C}">
  <dimension ref="A1:GU35"/>
  <sheetViews>
    <sheetView zoomScaleNormal="100" workbookViewId="0">
      <selection activeCell="E26" sqref="E26"/>
    </sheetView>
  </sheetViews>
  <sheetFormatPr baseColWidth="10" defaultColWidth="11.5" defaultRowHeight="13" x14ac:dyDescent="0.15"/>
  <cols>
    <col min="1" max="1" width="10.83203125" style="600" customWidth="1"/>
    <col min="2" max="2" width="28.1640625" style="600" customWidth="1"/>
    <col min="3" max="3" width="1.6640625" style="703" customWidth="1"/>
    <col min="4" max="14" width="13.33203125" style="600" customWidth="1"/>
    <col min="15" max="15" width="13.83203125" style="600" customWidth="1"/>
    <col min="16" max="16" width="11.5" style="600" bestFit="1" customWidth="1"/>
    <col min="17" max="16384" width="11.5" style="600"/>
  </cols>
  <sheetData>
    <row r="1" spans="1:203" s="601" customFormat="1" ht="20" customHeight="1" x14ac:dyDescent="0.15">
      <c r="A1" s="653"/>
      <c r="B1" s="654" t="s">
        <v>635</v>
      </c>
      <c r="C1" s="705"/>
      <c r="D1" s="656" t="s">
        <v>662</v>
      </c>
      <c r="E1" s="656" t="s">
        <v>663</v>
      </c>
      <c r="F1" s="656" t="s">
        <v>664</v>
      </c>
      <c r="G1" s="656" t="s">
        <v>614</v>
      </c>
      <c r="H1" s="656" t="s">
        <v>665</v>
      </c>
      <c r="I1" s="656" t="s">
        <v>24</v>
      </c>
      <c r="J1" s="656" t="s">
        <v>601</v>
      </c>
      <c r="K1" s="656" t="s">
        <v>600</v>
      </c>
      <c r="L1" s="656" t="s">
        <v>610</v>
      </c>
      <c r="M1" s="656" t="s">
        <v>666</v>
      </c>
      <c r="N1" s="656" t="s">
        <v>373</v>
      </c>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c r="AW1" s="600"/>
      <c r="AX1" s="600"/>
      <c r="AY1" s="600"/>
      <c r="AZ1" s="600"/>
      <c r="BA1" s="600"/>
      <c r="BB1" s="600"/>
      <c r="BC1" s="600"/>
      <c r="BD1" s="600"/>
      <c r="BE1" s="600"/>
      <c r="BF1" s="600"/>
      <c r="BG1" s="600"/>
      <c r="BH1" s="600"/>
      <c r="BI1" s="600"/>
      <c r="BJ1" s="600"/>
      <c r="BK1" s="600"/>
      <c r="BL1" s="600"/>
      <c r="BM1" s="600"/>
      <c r="BN1" s="600"/>
      <c r="BO1" s="600"/>
      <c r="BP1" s="600"/>
      <c r="BQ1" s="600"/>
      <c r="BR1" s="600"/>
      <c r="BS1" s="600"/>
      <c r="BT1" s="600"/>
      <c r="BU1" s="600"/>
      <c r="BV1" s="600"/>
      <c r="BW1" s="600"/>
      <c r="BX1" s="600"/>
      <c r="BY1" s="600"/>
      <c r="BZ1" s="600"/>
      <c r="CA1" s="600"/>
      <c r="CB1" s="600"/>
      <c r="CC1" s="600"/>
      <c r="CD1" s="600"/>
      <c r="CE1" s="600"/>
      <c r="CF1" s="600"/>
      <c r="CG1" s="600"/>
      <c r="CH1" s="600"/>
      <c r="CI1" s="600"/>
      <c r="CJ1" s="600"/>
      <c r="CK1" s="600"/>
      <c r="CL1" s="600"/>
      <c r="CM1" s="600"/>
      <c r="CN1" s="600"/>
      <c r="CO1" s="600"/>
      <c r="CP1" s="600"/>
      <c r="CQ1" s="600"/>
      <c r="CR1" s="600"/>
      <c r="CS1" s="600"/>
      <c r="CT1" s="600"/>
      <c r="CU1" s="600"/>
      <c r="CV1" s="600"/>
      <c r="CW1" s="600"/>
      <c r="CX1" s="600"/>
      <c r="CY1" s="600"/>
      <c r="CZ1" s="600"/>
      <c r="DA1" s="600"/>
      <c r="DB1" s="600"/>
      <c r="DC1" s="600"/>
      <c r="DD1" s="600"/>
      <c r="DE1" s="600"/>
      <c r="DF1" s="600"/>
      <c r="DG1" s="600"/>
      <c r="DH1" s="600"/>
      <c r="DI1" s="600"/>
      <c r="DJ1" s="600"/>
      <c r="DK1" s="600"/>
      <c r="DL1" s="600"/>
      <c r="DM1" s="600"/>
      <c r="DN1" s="600"/>
      <c r="DO1" s="600"/>
      <c r="DP1" s="600"/>
      <c r="DQ1" s="600"/>
      <c r="DR1" s="600"/>
      <c r="DS1" s="600"/>
      <c r="DT1" s="600"/>
      <c r="DU1" s="600"/>
      <c r="DV1" s="600"/>
      <c r="DW1" s="600"/>
      <c r="DX1" s="600"/>
      <c r="DY1" s="600"/>
      <c r="DZ1" s="600"/>
      <c r="EA1" s="600"/>
      <c r="EB1" s="600"/>
      <c r="EC1" s="600"/>
      <c r="ED1" s="600"/>
      <c r="EE1" s="600"/>
      <c r="EF1" s="600"/>
      <c r="EG1" s="600"/>
      <c r="EH1" s="600"/>
      <c r="EI1" s="600"/>
      <c r="EJ1" s="600"/>
      <c r="EK1" s="600"/>
      <c r="EL1" s="600"/>
      <c r="EM1" s="600"/>
      <c r="EN1" s="600"/>
      <c r="EO1" s="600"/>
      <c r="EP1" s="600"/>
      <c r="EQ1" s="600"/>
      <c r="ER1" s="600"/>
      <c r="ES1" s="600"/>
      <c r="ET1" s="600"/>
      <c r="EU1" s="600"/>
      <c r="EV1" s="600"/>
      <c r="EW1" s="600"/>
      <c r="EX1" s="600"/>
      <c r="EY1" s="600"/>
      <c r="EZ1" s="600"/>
      <c r="FA1" s="600"/>
      <c r="FB1" s="600"/>
      <c r="FC1" s="600"/>
      <c r="FD1" s="600"/>
      <c r="FE1" s="600"/>
      <c r="FF1" s="600"/>
      <c r="FG1" s="600"/>
      <c r="FH1" s="600"/>
      <c r="FI1" s="600"/>
      <c r="FJ1" s="600"/>
      <c r="FK1" s="600"/>
      <c r="FL1" s="600"/>
      <c r="FM1" s="600"/>
      <c r="FN1" s="600"/>
      <c r="FO1" s="600"/>
      <c r="FP1" s="600"/>
      <c r="FQ1" s="600"/>
      <c r="FR1" s="600"/>
      <c r="FS1" s="600"/>
      <c r="FT1" s="600"/>
      <c r="FU1" s="600"/>
      <c r="FV1" s="600"/>
      <c r="FW1" s="600"/>
      <c r="FX1" s="600"/>
      <c r="FY1" s="600"/>
      <c r="FZ1" s="600"/>
      <c r="GA1" s="600"/>
      <c r="GB1" s="600"/>
      <c r="GC1" s="600"/>
      <c r="GD1" s="600"/>
      <c r="GE1" s="600"/>
      <c r="GF1" s="600"/>
      <c r="GG1" s="600"/>
      <c r="GH1" s="600"/>
      <c r="GI1" s="600"/>
      <c r="GJ1" s="600"/>
      <c r="GK1" s="600"/>
      <c r="GL1" s="600"/>
      <c r="GM1" s="600"/>
      <c r="GN1" s="600"/>
      <c r="GO1" s="600"/>
      <c r="GP1" s="600"/>
      <c r="GQ1" s="600"/>
      <c r="GR1" s="600"/>
      <c r="GS1" s="600"/>
      <c r="GT1" s="600"/>
      <c r="GU1" s="600"/>
    </row>
    <row r="2" spans="1:203" s="601" customFormat="1" ht="20" customHeight="1" x14ac:dyDescent="0.2">
      <c r="A2" s="662"/>
      <c r="B2" s="603" t="s">
        <v>636</v>
      </c>
      <c r="C2" s="614"/>
      <c r="D2" s="605"/>
      <c r="E2" s="605"/>
      <c r="F2" s="605"/>
      <c r="G2" s="605"/>
      <c r="H2" s="605"/>
      <c r="I2" s="605"/>
      <c r="J2" s="605"/>
      <c r="K2" s="605"/>
      <c r="L2" s="605"/>
      <c r="M2" s="605"/>
      <c r="N2" s="605"/>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c r="AW2" s="600"/>
      <c r="AX2" s="600"/>
      <c r="AY2" s="600"/>
      <c r="AZ2" s="600"/>
      <c r="BA2" s="600"/>
      <c r="BB2" s="600"/>
      <c r="BC2" s="600"/>
      <c r="BD2" s="600"/>
      <c r="BE2" s="600"/>
      <c r="BF2" s="600"/>
      <c r="BG2" s="600"/>
      <c r="BH2" s="600"/>
      <c r="BI2" s="600"/>
      <c r="BJ2" s="600"/>
      <c r="BK2" s="600"/>
      <c r="BL2" s="600"/>
      <c r="BM2" s="600"/>
      <c r="BN2" s="600"/>
      <c r="BO2" s="600"/>
      <c r="BP2" s="600"/>
      <c r="BQ2" s="600"/>
      <c r="BR2" s="600"/>
      <c r="BS2" s="600"/>
      <c r="BT2" s="600"/>
      <c r="BU2" s="600"/>
      <c r="BV2" s="600"/>
      <c r="BW2" s="600"/>
      <c r="BX2" s="600"/>
      <c r="BY2" s="600"/>
      <c r="BZ2" s="600"/>
      <c r="CA2" s="600"/>
      <c r="CB2" s="600"/>
      <c r="CC2" s="600"/>
      <c r="CD2" s="600"/>
      <c r="CE2" s="600"/>
      <c r="CF2" s="600"/>
      <c r="CG2" s="600"/>
      <c r="CH2" s="600"/>
      <c r="CI2" s="600"/>
      <c r="CJ2" s="600"/>
      <c r="CK2" s="600"/>
      <c r="CL2" s="600"/>
      <c r="CM2" s="600"/>
      <c r="CN2" s="600"/>
      <c r="CO2" s="600"/>
      <c r="CP2" s="600"/>
      <c r="CQ2" s="600"/>
      <c r="CR2" s="600"/>
      <c r="CS2" s="600"/>
      <c r="CT2" s="600"/>
      <c r="CU2" s="600"/>
      <c r="CV2" s="600"/>
      <c r="CW2" s="600"/>
      <c r="CX2" s="600"/>
      <c r="CY2" s="600"/>
      <c r="CZ2" s="600"/>
      <c r="DA2" s="600"/>
      <c r="DB2" s="600"/>
      <c r="DC2" s="600"/>
      <c r="DD2" s="600"/>
      <c r="DE2" s="600"/>
      <c r="DF2" s="600"/>
      <c r="DG2" s="600"/>
      <c r="DH2" s="600"/>
      <c r="DI2" s="600"/>
      <c r="DJ2" s="600"/>
      <c r="DK2" s="600"/>
      <c r="DL2" s="600"/>
      <c r="DM2" s="600"/>
      <c r="DN2" s="600"/>
      <c r="DO2" s="600"/>
      <c r="DP2" s="600"/>
      <c r="DQ2" s="600"/>
      <c r="DR2" s="600"/>
      <c r="DS2" s="600"/>
      <c r="DT2" s="600"/>
      <c r="DU2" s="600"/>
      <c r="DV2" s="600"/>
      <c r="DW2" s="600"/>
      <c r="DX2" s="600"/>
      <c r="DY2" s="600"/>
      <c r="DZ2" s="600"/>
      <c r="EA2" s="600"/>
      <c r="EB2" s="600"/>
      <c r="EC2" s="600"/>
      <c r="ED2" s="600"/>
      <c r="EE2" s="600"/>
      <c r="EF2" s="600"/>
      <c r="EG2" s="600"/>
      <c r="EH2" s="600"/>
      <c r="EI2" s="600"/>
      <c r="EJ2" s="600"/>
      <c r="EK2" s="600"/>
      <c r="EL2" s="600"/>
      <c r="EM2" s="600"/>
      <c r="EN2" s="600"/>
      <c r="EO2" s="600"/>
      <c r="EP2" s="600"/>
      <c r="EQ2" s="600"/>
      <c r="ER2" s="600"/>
      <c r="ES2" s="600"/>
      <c r="ET2" s="600"/>
      <c r="EU2" s="600"/>
      <c r="EV2" s="600"/>
      <c r="EW2" s="600"/>
      <c r="EX2" s="600"/>
      <c r="EY2" s="600"/>
      <c r="EZ2" s="600"/>
      <c r="FA2" s="600"/>
      <c r="FB2" s="600"/>
      <c r="FC2" s="600"/>
      <c r="FD2" s="600"/>
      <c r="FE2" s="600"/>
      <c r="FF2" s="600"/>
      <c r="FG2" s="600"/>
      <c r="FH2" s="600"/>
      <c r="FI2" s="600"/>
      <c r="FJ2" s="600"/>
      <c r="FK2" s="600"/>
      <c r="FL2" s="600"/>
      <c r="FM2" s="600"/>
      <c r="FN2" s="600"/>
      <c r="FO2" s="600"/>
      <c r="FP2" s="600"/>
      <c r="FQ2" s="600"/>
      <c r="FR2" s="600"/>
      <c r="FS2" s="600"/>
      <c r="FT2" s="600"/>
      <c r="FU2" s="600"/>
      <c r="FV2" s="600"/>
      <c r="FW2" s="600"/>
      <c r="FX2" s="600"/>
      <c r="FY2" s="600"/>
      <c r="FZ2" s="600"/>
      <c r="GA2" s="600"/>
      <c r="GB2" s="600"/>
      <c r="GC2" s="600"/>
      <c r="GD2" s="600"/>
      <c r="GE2" s="600"/>
      <c r="GF2" s="600"/>
      <c r="GG2" s="600"/>
      <c r="GH2" s="600"/>
      <c r="GI2" s="600"/>
      <c r="GJ2" s="600"/>
      <c r="GK2" s="600"/>
      <c r="GL2" s="600"/>
      <c r="GM2" s="600"/>
      <c r="GN2" s="600"/>
      <c r="GO2" s="600"/>
      <c r="GP2" s="600"/>
      <c r="GQ2" s="600"/>
      <c r="GR2" s="600"/>
      <c r="GS2" s="600"/>
      <c r="GT2" s="600"/>
      <c r="GU2" s="600"/>
    </row>
    <row r="3" spans="1:203" s="601" customFormat="1" ht="20" customHeight="1" x14ac:dyDescent="0.2">
      <c r="A3" s="662"/>
      <c r="B3" s="608" t="s">
        <v>580</v>
      </c>
      <c r="C3" s="614"/>
      <c r="D3" s="706">
        <v>135063</v>
      </c>
      <c r="E3" s="706">
        <v>135063</v>
      </c>
      <c r="F3" s="706">
        <v>135063</v>
      </c>
      <c r="G3" s="706">
        <v>135063</v>
      </c>
      <c r="H3" s="706">
        <v>135063</v>
      </c>
      <c r="I3" s="706">
        <v>135063</v>
      </c>
      <c r="J3" s="706">
        <v>135063</v>
      </c>
      <c r="K3" s="706">
        <v>135063</v>
      </c>
      <c r="L3" s="706">
        <v>135063</v>
      </c>
      <c r="M3" s="706">
        <v>135063</v>
      </c>
      <c r="N3" s="706">
        <v>135063</v>
      </c>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0"/>
      <c r="AQ3" s="600"/>
      <c r="AR3" s="600"/>
      <c r="AS3" s="600"/>
      <c r="AT3" s="600"/>
      <c r="AU3" s="600"/>
      <c r="AV3" s="600"/>
      <c r="AW3" s="600"/>
      <c r="AX3" s="600"/>
      <c r="AY3" s="600"/>
      <c r="AZ3" s="600"/>
      <c r="BA3" s="600"/>
      <c r="BB3" s="600"/>
      <c r="BC3" s="600"/>
      <c r="BD3" s="600"/>
      <c r="BE3" s="600"/>
      <c r="BF3" s="600"/>
      <c r="BG3" s="600"/>
      <c r="BH3" s="600"/>
      <c r="BI3" s="600"/>
      <c r="BJ3" s="600"/>
      <c r="BK3" s="600"/>
      <c r="BL3" s="600"/>
      <c r="BM3" s="600"/>
      <c r="BN3" s="600"/>
      <c r="BO3" s="600"/>
      <c r="BP3" s="600"/>
      <c r="BQ3" s="600"/>
      <c r="BR3" s="600"/>
      <c r="BS3" s="600"/>
      <c r="BT3" s="600"/>
      <c r="BU3" s="600"/>
      <c r="BV3" s="600"/>
      <c r="BW3" s="600"/>
      <c r="BX3" s="600"/>
      <c r="BY3" s="600"/>
      <c r="BZ3" s="600"/>
      <c r="CA3" s="600"/>
      <c r="CB3" s="600"/>
      <c r="CC3" s="600"/>
      <c r="CD3" s="600"/>
      <c r="CE3" s="600"/>
      <c r="CF3" s="600"/>
      <c r="CG3" s="600"/>
      <c r="CH3" s="600"/>
      <c r="CI3" s="600"/>
      <c r="CJ3" s="600"/>
      <c r="CK3" s="600"/>
      <c r="CL3" s="600"/>
      <c r="CM3" s="600"/>
      <c r="CN3" s="600"/>
      <c r="CO3" s="600"/>
      <c r="CP3" s="600"/>
      <c r="CQ3" s="600"/>
      <c r="CR3" s="600"/>
      <c r="CS3" s="600"/>
      <c r="CT3" s="600"/>
      <c r="CU3" s="600"/>
      <c r="CV3" s="600"/>
      <c r="CW3" s="600"/>
      <c r="CX3" s="600"/>
      <c r="CY3" s="600"/>
      <c r="CZ3" s="600"/>
      <c r="DA3" s="600"/>
      <c r="DB3" s="600"/>
      <c r="DC3" s="600"/>
      <c r="DD3" s="600"/>
      <c r="DE3" s="600"/>
      <c r="DF3" s="600"/>
      <c r="DG3" s="600"/>
      <c r="DH3" s="600"/>
      <c r="DI3" s="600"/>
      <c r="DJ3" s="600"/>
      <c r="DK3" s="600"/>
      <c r="DL3" s="600"/>
      <c r="DM3" s="600"/>
      <c r="DN3" s="600"/>
      <c r="DO3" s="600"/>
      <c r="DP3" s="600"/>
      <c r="DQ3" s="600"/>
      <c r="DR3" s="600"/>
      <c r="DS3" s="600"/>
      <c r="DT3" s="600"/>
      <c r="DU3" s="600"/>
      <c r="DV3" s="600"/>
      <c r="DW3" s="600"/>
      <c r="DX3" s="600"/>
      <c r="DY3" s="600"/>
      <c r="DZ3" s="600"/>
      <c r="EA3" s="600"/>
      <c r="EB3" s="600"/>
      <c r="EC3" s="600"/>
      <c r="ED3" s="600"/>
      <c r="EE3" s="600"/>
      <c r="EF3" s="600"/>
      <c r="EG3" s="600"/>
      <c r="EH3" s="600"/>
      <c r="EI3" s="600"/>
      <c r="EJ3" s="600"/>
      <c r="EK3" s="600"/>
      <c r="EL3" s="600"/>
      <c r="EM3" s="600"/>
      <c r="EN3" s="600"/>
      <c r="EO3" s="600"/>
      <c r="EP3" s="600"/>
      <c r="EQ3" s="600"/>
      <c r="ER3" s="600"/>
      <c r="ES3" s="600"/>
      <c r="ET3" s="600"/>
      <c r="EU3" s="600"/>
      <c r="EV3" s="600"/>
      <c r="EW3" s="600"/>
      <c r="EX3" s="600"/>
      <c r="EY3" s="600"/>
      <c r="EZ3" s="600"/>
      <c r="FA3" s="600"/>
      <c r="FB3" s="600"/>
      <c r="FC3" s="600"/>
      <c r="FD3" s="600"/>
      <c r="FE3" s="600"/>
      <c r="FF3" s="600"/>
      <c r="FG3" s="600"/>
      <c r="FH3" s="600"/>
      <c r="FI3" s="600"/>
      <c r="FJ3" s="600"/>
      <c r="FK3" s="600"/>
      <c r="FL3" s="600"/>
      <c r="FM3" s="600"/>
      <c r="FN3" s="600"/>
      <c r="FO3" s="600"/>
      <c r="FP3" s="600"/>
      <c r="FQ3" s="600"/>
      <c r="FR3" s="600"/>
      <c r="FS3" s="600"/>
      <c r="FT3" s="600"/>
      <c r="FU3" s="600"/>
      <c r="FV3" s="600"/>
      <c r="FW3" s="600"/>
      <c r="FX3" s="600"/>
      <c r="FY3" s="600"/>
      <c r="FZ3" s="600"/>
      <c r="GA3" s="600"/>
      <c r="GB3" s="600"/>
      <c r="GC3" s="600"/>
      <c r="GD3" s="600"/>
      <c r="GE3" s="600"/>
      <c r="GF3" s="600"/>
      <c r="GG3" s="600"/>
      <c r="GH3" s="600"/>
      <c r="GI3" s="600"/>
      <c r="GJ3" s="600"/>
      <c r="GK3" s="600"/>
      <c r="GL3" s="600"/>
      <c r="GM3" s="600"/>
      <c r="GN3" s="600"/>
      <c r="GO3" s="600"/>
      <c r="GP3" s="600"/>
      <c r="GQ3" s="600"/>
      <c r="GR3" s="600"/>
      <c r="GS3" s="600"/>
      <c r="GT3" s="600"/>
      <c r="GU3" s="600"/>
    </row>
    <row r="4" spans="1:203" s="601" customFormat="1" ht="20" customHeight="1" x14ac:dyDescent="0.2">
      <c r="A4" s="662"/>
      <c r="B4" s="608" t="s">
        <v>638</v>
      </c>
      <c r="C4" s="614"/>
      <c r="D4" s="609">
        <v>237044</v>
      </c>
      <c r="E4" s="609">
        <v>237095</v>
      </c>
      <c r="F4" s="609">
        <v>237046</v>
      </c>
      <c r="G4" s="609">
        <v>237078</v>
      </c>
      <c r="H4" s="609">
        <v>237094</v>
      </c>
      <c r="I4" s="609">
        <v>237050</v>
      </c>
      <c r="J4" s="609">
        <v>237071</v>
      </c>
      <c r="K4" s="609">
        <v>237051</v>
      </c>
      <c r="L4" s="609">
        <v>237052</v>
      </c>
      <c r="M4" s="609">
        <v>237053</v>
      </c>
      <c r="N4" s="609">
        <v>237054</v>
      </c>
      <c r="R4" s="600"/>
      <c r="S4" s="600"/>
      <c r="T4" s="600"/>
      <c r="U4" s="600"/>
      <c r="V4" s="600"/>
      <c r="W4" s="600"/>
      <c r="X4" s="600"/>
      <c r="Y4" s="600"/>
      <c r="Z4" s="600"/>
      <c r="AA4" s="600"/>
      <c r="AB4" s="600"/>
      <c r="AC4" s="600"/>
      <c r="AD4" s="600"/>
      <c r="AE4" s="600"/>
      <c r="AF4" s="600"/>
      <c r="AG4" s="600"/>
      <c r="AH4" s="600"/>
      <c r="AI4" s="600"/>
      <c r="AJ4" s="600"/>
      <c r="AK4" s="600"/>
      <c r="AL4" s="600"/>
      <c r="AM4" s="600"/>
      <c r="AN4" s="600"/>
      <c r="AO4" s="600"/>
      <c r="AP4" s="600"/>
      <c r="AQ4" s="600"/>
      <c r="AR4" s="600"/>
      <c r="AS4" s="600"/>
      <c r="AT4" s="600"/>
      <c r="AU4" s="600"/>
      <c r="AV4" s="600"/>
      <c r="AW4" s="600"/>
      <c r="AX4" s="600"/>
      <c r="AY4" s="600"/>
      <c r="AZ4" s="600"/>
      <c r="BA4" s="600"/>
      <c r="BB4" s="600"/>
      <c r="BC4" s="600"/>
      <c r="BD4" s="600"/>
      <c r="BE4" s="600"/>
      <c r="BF4" s="600"/>
      <c r="BG4" s="600"/>
      <c r="BH4" s="600"/>
      <c r="BI4" s="600"/>
      <c r="BJ4" s="600"/>
      <c r="BK4" s="600"/>
      <c r="BL4" s="600"/>
      <c r="BM4" s="600"/>
      <c r="BN4" s="600"/>
      <c r="BO4" s="600"/>
      <c r="BP4" s="600"/>
      <c r="BQ4" s="600"/>
      <c r="BR4" s="600"/>
      <c r="BS4" s="600"/>
      <c r="BT4" s="600"/>
      <c r="BU4" s="600"/>
      <c r="BV4" s="600"/>
      <c r="BW4" s="600"/>
      <c r="BX4" s="600"/>
      <c r="BY4" s="600"/>
      <c r="BZ4" s="600"/>
      <c r="CA4" s="600"/>
      <c r="CB4" s="600"/>
      <c r="CC4" s="600"/>
      <c r="CD4" s="600"/>
      <c r="CE4" s="600"/>
      <c r="CF4" s="600"/>
      <c r="CG4" s="600"/>
      <c r="CH4" s="600"/>
      <c r="CI4" s="600"/>
      <c r="CJ4" s="600"/>
      <c r="CK4" s="600"/>
      <c r="CL4" s="600"/>
      <c r="CM4" s="600"/>
      <c r="CN4" s="600"/>
      <c r="CO4" s="600"/>
      <c r="CP4" s="600"/>
      <c r="CQ4" s="600"/>
      <c r="CR4" s="600"/>
      <c r="CS4" s="600"/>
      <c r="CT4" s="600"/>
      <c r="CU4" s="600"/>
      <c r="CV4" s="600"/>
      <c r="CW4" s="600"/>
      <c r="CX4" s="600"/>
      <c r="CY4" s="600"/>
      <c r="CZ4" s="600"/>
      <c r="DA4" s="600"/>
      <c r="DB4" s="600"/>
      <c r="DC4" s="600"/>
      <c r="DD4" s="600"/>
      <c r="DE4" s="600"/>
      <c r="DF4" s="600"/>
      <c r="DG4" s="600"/>
      <c r="DH4" s="600"/>
      <c r="DI4" s="600"/>
      <c r="DJ4" s="600"/>
      <c r="DK4" s="600"/>
      <c r="DL4" s="600"/>
      <c r="DM4" s="600"/>
      <c r="DN4" s="600"/>
      <c r="DO4" s="600"/>
      <c r="DP4" s="600"/>
      <c r="DQ4" s="600"/>
      <c r="DR4" s="600"/>
      <c r="DS4" s="600"/>
      <c r="DT4" s="600"/>
      <c r="DU4" s="600"/>
      <c r="DV4" s="600"/>
      <c r="DW4" s="600"/>
      <c r="DX4" s="600"/>
      <c r="DY4" s="600"/>
      <c r="DZ4" s="600"/>
      <c r="EA4" s="600"/>
      <c r="EB4" s="600"/>
      <c r="EC4" s="600"/>
      <c r="ED4" s="600"/>
      <c r="EE4" s="600"/>
      <c r="EF4" s="600"/>
      <c r="EG4" s="600"/>
      <c r="EH4" s="600"/>
      <c r="EI4" s="600"/>
      <c r="EJ4" s="600"/>
      <c r="EK4" s="600"/>
      <c r="EL4" s="600"/>
      <c r="EM4" s="600"/>
      <c r="EN4" s="600"/>
      <c r="EO4" s="600"/>
      <c r="EP4" s="600"/>
      <c r="EQ4" s="600"/>
      <c r="ER4" s="600"/>
      <c r="ES4" s="600"/>
      <c r="ET4" s="600"/>
      <c r="EU4" s="600"/>
      <c r="EV4" s="600"/>
      <c r="EW4" s="600"/>
      <c r="EX4" s="600"/>
      <c r="EY4" s="600"/>
      <c r="EZ4" s="600"/>
      <c r="FA4" s="600"/>
      <c r="FB4" s="600"/>
      <c r="FC4" s="600"/>
      <c r="FD4" s="600"/>
      <c r="FE4" s="600"/>
      <c r="FF4" s="600"/>
      <c r="FG4" s="600"/>
      <c r="FH4" s="600"/>
      <c r="FI4" s="600"/>
      <c r="FJ4" s="600"/>
      <c r="FK4" s="600"/>
      <c r="FL4" s="600"/>
      <c r="FM4" s="600"/>
      <c r="FN4" s="600"/>
      <c r="FO4" s="600"/>
      <c r="FP4" s="600"/>
      <c r="FQ4" s="600"/>
      <c r="FR4" s="600"/>
      <c r="FS4" s="600"/>
      <c r="FT4" s="600"/>
      <c r="FU4" s="600"/>
      <c r="FV4" s="600"/>
      <c r="FW4" s="600"/>
      <c r="FX4" s="600"/>
      <c r="FY4" s="600"/>
      <c r="FZ4" s="600"/>
      <c r="GA4" s="600"/>
      <c r="GB4" s="600"/>
      <c r="GC4" s="600"/>
      <c r="GD4" s="600"/>
      <c r="GE4" s="600"/>
      <c r="GF4" s="600"/>
      <c r="GG4" s="600"/>
      <c r="GH4" s="600"/>
      <c r="GI4" s="600"/>
      <c r="GJ4" s="600"/>
      <c r="GK4" s="600"/>
      <c r="GL4" s="600"/>
      <c r="GM4" s="600"/>
      <c r="GN4" s="600"/>
      <c r="GO4" s="600"/>
      <c r="GP4" s="600"/>
      <c r="GQ4" s="600"/>
      <c r="GR4" s="600"/>
      <c r="GS4" s="600"/>
      <c r="GT4" s="600"/>
      <c r="GU4" s="600"/>
    </row>
    <row r="5" spans="1:203" s="601" customFormat="1" ht="20" customHeight="1" x14ac:dyDescent="0.2">
      <c r="A5" s="662"/>
      <c r="B5" s="608" t="s">
        <v>640</v>
      </c>
      <c r="C5" s="614"/>
      <c r="D5" s="611" t="s">
        <v>667</v>
      </c>
      <c r="E5" s="611" t="s">
        <v>668</v>
      </c>
      <c r="F5" s="611" t="s">
        <v>669</v>
      </c>
      <c r="G5" s="611" t="s">
        <v>670</v>
      </c>
      <c r="H5" s="611" t="s">
        <v>671</v>
      </c>
      <c r="I5" s="611" t="s">
        <v>641</v>
      </c>
      <c r="J5" s="611" t="s">
        <v>642</v>
      </c>
      <c r="K5" s="611" t="s">
        <v>643</v>
      </c>
      <c r="L5" s="611" t="s">
        <v>672</v>
      </c>
      <c r="M5" s="611" t="s">
        <v>673</v>
      </c>
      <c r="N5" s="611" t="s">
        <v>674</v>
      </c>
      <c r="R5" s="600"/>
      <c r="S5" s="600"/>
      <c r="T5" s="600"/>
      <c r="U5" s="600"/>
      <c r="V5" s="600"/>
      <c r="W5" s="600"/>
      <c r="X5" s="600"/>
      <c r="Y5" s="600"/>
      <c r="Z5" s="600"/>
      <c r="AA5" s="600"/>
      <c r="AB5" s="600"/>
      <c r="AC5" s="600"/>
      <c r="AD5" s="600"/>
      <c r="AE5" s="600"/>
      <c r="AF5" s="600"/>
      <c r="AG5" s="600"/>
      <c r="AH5" s="600"/>
      <c r="AI5" s="600"/>
      <c r="AJ5" s="600"/>
      <c r="AK5" s="600"/>
      <c r="AL5" s="600"/>
      <c r="AM5" s="600"/>
      <c r="AN5" s="600"/>
      <c r="AO5" s="600"/>
      <c r="AP5" s="600"/>
      <c r="AQ5" s="600"/>
      <c r="AR5" s="600"/>
      <c r="AS5" s="600"/>
      <c r="AT5" s="600"/>
      <c r="AU5" s="600"/>
      <c r="AV5" s="600"/>
      <c r="AW5" s="600"/>
      <c r="AX5" s="600"/>
      <c r="AY5" s="600"/>
      <c r="AZ5" s="600"/>
      <c r="BA5" s="600"/>
      <c r="BB5" s="600"/>
      <c r="BC5" s="600"/>
      <c r="BD5" s="600"/>
      <c r="BE5" s="600"/>
      <c r="BF5" s="600"/>
      <c r="BG5" s="600"/>
      <c r="BH5" s="600"/>
      <c r="BI5" s="600"/>
      <c r="BJ5" s="600"/>
      <c r="BK5" s="600"/>
      <c r="BL5" s="600"/>
      <c r="BM5" s="600"/>
      <c r="BN5" s="600"/>
      <c r="BO5" s="600"/>
      <c r="BP5" s="600"/>
      <c r="BQ5" s="600"/>
      <c r="BR5" s="600"/>
      <c r="BS5" s="600"/>
      <c r="BT5" s="600"/>
      <c r="BU5" s="600"/>
      <c r="BV5" s="600"/>
      <c r="BW5" s="600"/>
      <c r="BX5" s="600"/>
      <c r="BY5" s="600"/>
      <c r="BZ5" s="600"/>
      <c r="CA5" s="600"/>
      <c r="CB5" s="600"/>
      <c r="CC5" s="600"/>
      <c r="CD5" s="600"/>
      <c r="CE5" s="600"/>
      <c r="CF5" s="600"/>
      <c r="CG5" s="600"/>
      <c r="CH5" s="600"/>
      <c r="CI5" s="600"/>
      <c r="CJ5" s="600"/>
      <c r="CK5" s="600"/>
      <c r="CL5" s="600"/>
      <c r="CM5" s="600"/>
      <c r="CN5" s="600"/>
      <c r="CO5" s="600"/>
      <c r="CP5" s="600"/>
      <c r="CQ5" s="600"/>
      <c r="CR5" s="600"/>
      <c r="CS5" s="600"/>
      <c r="CT5" s="600"/>
      <c r="CU5" s="600"/>
      <c r="CV5" s="600"/>
      <c r="CW5" s="600"/>
      <c r="CX5" s="600"/>
      <c r="CY5" s="600"/>
      <c r="CZ5" s="600"/>
      <c r="DA5" s="600"/>
      <c r="DB5" s="600"/>
      <c r="DC5" s="600"/>
      <c r="DD5" s="600"/>
      <c r="DE5" s="600"/>
      <c r="DF5" s="600"/>
      <c r="DG5" s="600"/>
      <c r="DH5" s="600"/>
      <c r="DI5" s="600"/>
      <c r="DJ5" s="600"/>
      <c r="DK5" s="600"/>
      <c r="DL5" s="600"/>
      <c r="DM5" s="600"/>
      <c r="DN5" s="600"/>
      <c r="DO5" s="600"/>
      <c r="DP5" s="600"/>
      <c r="DQ5" s="600"/>
      <c r="DR5" s="600"/>
      <c r="DS5" s="600"/>
      <c r="DT5" s="600"/>
      <c r="DU5" s="600"/>
      <c r="DV5" s="600"/>
      <c r="DW5" s="600"/>
      <c r="DX5" s="600"/>
      <c r="DY5" s="600"/>
      <c r="DZ5" s="600"/>
      <c r="EA5" s="600"/>
      <c r="EB5" s="600"/>
      <c r="EC5" s="600"/>
      <c r="ED5" s="600"/>
      <c r="EE5" s="600"/>
      <c r="EF5" s="600"/>
      <c r="EG5" s="600"/>
      <c r="EH5" s="600"/>
      <c r="EI5" s="600"/>
      <c r="EJ5" s="600"/>
      <c r="EK5" s="600"/>
      <c r="EL5" s="600"/>
      <c r="EM5" s="600"/>
      <c r="EN5" s="600"/>
      <c r="EO5" s="600"/>
      <c r="EP5" s="600"/>
      <c r="EQ5" s="600"/>
      <c r="ER5" s="600"/>
      <c r="ES5" s="600"/>
      <c r="ET5" s="600"/>
      <c r="EU5" s="600"/>
      <c r="EV5" s="600"/>
      <c r="EW5" s="600"/>
      <c r="EX5" s="600"/>
      <c r="EY5" s="600"/>
      <c r="EZ5" s="600"/>
      <c r="FA5" s="600"/>
      <c r="FB5" s="600"/>
      <c r="FC5" s="600"/>
      <c r="FD5" s="600"/>
      <c r="FE5" s="600"/>
      <c r="FF5" s="600"/>
      <c r="FG5" s="600"/>
      <c r="FH5" s="600"/>
      <c r="FI5" s="600"/>
      <c r="FJ5" s="600"/>
      <c r="FK5" s="600"/>
      <c r="FL5" s="600"/>
      <c r="FM5" s="600"/>
      <c r="FN5" s="600"/>
      <c r="FO5" s="600"/>
      <c r="FP5" s="600"/>
      <c r="FQ5" s="600"/>
      <c r="FR5" s="600"/>
      <c r="FS5" s="600"/>
      <c r="FT5" s="600"/>
      <c r="FU5" s="600"/>
      <c r="FV5" s="600"/>
      <c r="FW5" s="600"/>
      <c r="FX5" s="600"/>
      <c r="FY5" s="600"/>
      <c r="FZ5" s="600"/>
      <c r="GA5" s="600"/>
      <c r="GB5" s="600"/>
      <c r="GC5" s="600"/>
      <c r="GD5" s="600"/>
      <c r="GE5" s="600"/>
      <c r="GF5" s="600"/>
      <c r="GG5" s="600"/>
      <c r="GH5" s="600"/>
      <c r="GI5" s="600"/>
      <c r="GJ5" s="600"/>
      <c r="GK5" s="600"/>
      <c r="GL5" s="600"/>
      <c r="GM5" s="600"/>
      <c r="GN5" s="600"/>
      <c r="GO5" s="600"/>
      <c r="GP5" s="600"/>
      <c r="GQ5" s="600"/>
      <c r="GR5" s="600"/>
      <c r="GS5" s="600"/>
      <c r="GT5" s="600"/>
      <c r="GU5" s="600"/>
    </row>
    <row r="6" spans="1:203" ht="20" customHeight="1" x14ac:dyDescent="0.15">
      <c r="A6" s="673" t="s">
        <v>647</v>
      </c>
      <c r="B6" s="613" t="s">
        <v>648</v>
      </c>
      <c r="C6" s="614"/>
      <c r="D6" s="615"/>
      <c r="E6" s="615"/>
      <c r="F6" s="615"/>
      <c r="G6" s="615"/>
      <c r="H6" s="615"/>
      <c r="I6" s="615"/>
      <c r="J6" s="615"/>
      <c r="K6" s="615"/>
      <c r="L6" s="615"/>
      <c r="M6" s="615"/>
      <c r="N6" s="615"/>
    </row>
    <row r="7" spans="1:203" s="623" customFormat="1" ht="7" customHeight="1" x14ac:dyDescent="0.15">
      <c r="A7" s="619"/>
      <c r="B7" s="618"/>
      <c r="C7" s="619"/>
      <c r="D7" s="620"/>
      <c r="E7" s="620"/>
      <c r="F7" s="620"/>
      <c r="G7" s="620"/>
      <c r="H7" s="620"/>
      <c r="I7" s="620"/>
      <c r="J7" s="620"/>
      <c r="K7" s="620"/>
      <c r="L7" s="620"/>
      <c r="M7" s="620"/>
      <c r="N7" s="620"/>
      <c r="R7" s="600"/>
      <c r="S7" s="600"/>
      <c r="T7" s="600"/>
      <c r="U7" s="600"/>
      <c r="V7" s="600"/>
      <c r="W7" s="600"/>
      <c r="X7" s="600"/>
      <c r="Y7" s="600"/>
      <c r="Z7" s="600"/>
      <c r="AA7" s="600"/>
      <c r="AB7" s="600"/>
      <c r="AC7" s="600"/>
      <c r="AD7" s="600"/>
      <c r="AE7" s="600"/>
      <c r="AF7" s="600"/>
      <c r="AG7" s="600"/>
      <c r="AH7" s="600"/>
      <c r="AI7" s="600"/>
      <c r="AJ7" s="600"/>
      <c r="AK7" s="600"/>
      <c r="AL7" s="600"/>
      <c r="AM7" s="600"/>
      <c r="AN7" s="600"/>
      <c r="AO7" s="600"/>
      <c r="AP7" s="600"/>
      <c r="AQ7" s="600"/>
      <c r="AR7" s="600"/>
      <c r="AS7" s="600"/>
      <c r="AT7" s="600"/>
      <c r="AU7" s="600"/>
      <c r="AV7" s="600"/>
      <c r="AW7" s="600"/>
      <c r="AX7" s="600"/>
      <c r="AY7" s="600"/>
      <c r="AZ7" s="600"/>
      <c r="BA7" s="600"/>
      <c r="BB7" s="600"/>
      <c r="BC7" s="600"/>
      <c r="BD7" s="600"/>
      <c r="BE7" s="600"/>
      <c r="BF7" s="600"/>
      <c r="BG7" s="600"/>
      <c r="BH7" s="600"/>
      <c r="BI7" s="600"/>
      <c r="BJ7" s="600"/>
      <c r="BK7" s="600"/>
      <c r="BL7" s="600"/>
      <c r="BM7" s="600"/>
      <c r="BN7" s="600"/>
      <c r="BO7" s="600"/>
      <c r="BP7" s="600"/>
      <c r="BQ7" s="600"/>
      <c r="BR7" s="600"/>
      <c r="BS7" s="600"/>
      <c r="BT7" s="600"/>
      <c r="BU7" s="600"/>
      <c r="BV7" s="600"/>
      <c r="BW7" s="600"/>
      <c r="BX7" s="600"/>
      <c r="BY7" s="600"/>
      <c r="BZ7" s="600"/>
      <c r="CA7" s="600"/>
      <c r="CB7" s="600"/>
      <c r="CC7" s="600"/>
      <c r="CD7" s="600"/>
      <c r="CE7" s="600"/>
      <c r="CF7" s="600"/>
      <c r="CG7" s="600"/>
      <c r="CH7" s="600"/>
      <c r="CI7" s="600"/>
      <c r="CJ7" s="600"/>
      <c r="CK7" s="600"/>
      <c r="CL7" s="600"/>
      <c r="CM7" s="600"/>
      <c r="CN7" s="600"/>
      <c r="CO7" s="600"/>
      <c r="CP7" s="600"/>
      <c r="CQ7" s="600"/>
      <c r="CR7" s="600"/>
      <c r="CS7" s="600"/>
      <c r="CT7" s="600"/>
      <c r="CU7" s="600"/>
      <c r="CV7" s="600"/>
      <c r="CW7" s="600"/>
      <c r="CX7" s="600"/>
      <c r="CY7" s="600"/>
      <c r="CZ7" s="600"/>
      <c r="DA7" s="600"/>
      <c r="DB7" s="600"/>
      <c r="DC7" s="600"/>
      <c r="DD7" s="600"/>
      <c r="DE7" s="600"/>
      <c r="DF7" s="600"/>
      <c r="DG7" s="600"/>
      <c r="DH7" s="600"/>
      <c r="DI7" s="600"/>
      <c r="DJ7" s="600"/>
      <c r="DK7" s="600"/>
      <c r="DL7" s="600"/>
      <c r="DM7" s="600"/>
      <c r="DN7" s="600"/>
      <c r="DO7" s="600"/>
      <c r="DP7" s="600"/>
      <c r="DQ7" s="600"/>
      <c r="DR7" s="600"/>
      <c r="DS7" s="600"/>
      <c r="DT7" s="600"/>
      <c r="DU7" s="600"/>
      <c r="DV7" s="600"/>
      <c r="DW7" s="600"/>
      <c r="DX7" s="600"/>
      <c r="DY7" s="600"/>
      <c r="DZ7" s="600"/>
      <c r="EA7" s="600"/>
      <c r="EB7" s="600"/>
      <c r="EC7" s="600"/>
      <c r="ED7" s="600"/>
      <c r="EE7" s="600"/>
      <c r="EF7" s="600"/>
      <c r="EG7" s="600"/>
      <c r="EH7" s="600"/>
      <c r="EI7" s="600"/>
      <c r="EJ7" s="600"/>
      <c r="EK7" s="600"/>
      <c r="EL7" s="600"/>
      <c r="EM7" s="600"/>
      <c r="EN7" s="600"/>
      <c r="EO7" s="600"/>
      <c r="EP7" s="600"/>
      <c r="EQ7" s="600"/>
      <c r="ER7" s="600"/>
      <c r="ES7" s="600"/>
      <c r="ET7" s="600"/>
      <c r="EU7" s="600"/>
      <c r="EV7" s="600"/>
      <c r="EW7" s="600"/>
      <c r="EX7" s="600"/>
      <c r="EY7" s="600"/>
      <c r="EZ7" s="600"/>
      <c r="FA7" s="600"/>
      <c r="FB7" s="600"/>
      <c r="FC7" s="600"/>
      <c r="FD7" s="600"/>
      <c r="FE7" s="600"/>
      <c r="FF7" s="600"/>
      <c r="FG7" s="600"/>
      <c r="FH7" s="600"/>
      <c r="FI7" s="600"/>
      <c r="FJ7" s="600"/>
      <c r="FK7" s="600"/>
      <c r="FL7" s="600"/>
      <c r="FM7" s="600"/>
      <c r="FN7" s="600"/>
      <c r="FO7" s="600"/>
      <c r="FP7" s="600"/>
      <c r="FQ7" s="600"/>
      <c r="FR7" s="600"/>
      <c r="FS7" s="600"/>
      <c r="FT7" s="600"/>
      <c r="FU7" s="600"/>
      <c r="FV7" s="600"/>
      <c r="FW7" s="600"/>
      <c r="FX7" s="600"/>
      <c r="FY7" s="600"/>
      <c r="FZ7" s="600"/>
      <c r="GA7" s="600"/>
      <c r="GB7" s="600"/>
      <c r="GC7" s="600"/>
      <c r="GD7" s="600"/>
      <c r="GE7" s="600"/>
      <c r="GF7" s="600"/>
      <c r="GG7" s="600"/>
      <c r="GH7" s="600"/>
      <c r="GI7" s="600"/>
      <c r="GJ7" s="600"/>
      <c r="GK7" s="600"/>
      <c r="GL7" s="600"/>
      <c r="GM7" s="600"/>
      <c r="GN7" s="600"/>
      <c r="GO7" s="600"/>
      <c r="GP7" s="600"/>
      <c r="GQ7" s="600"/>
      <c r="GR7" s="600"/>
      <c r="GS7" s="600"/>
      <c r="GT7" s="600"/>
      <c r="GU7" s="600"/>
    </row>
    <row r="8" spans="1:203" ht="20" customHeight="1" x14ac:dyDescent="0.2">
      <c r="A8" s="673">
        <v>1000</v>
      </c>
      <c r="B8" s="624" t="s">
        <v>649</v>
      </c>
      <c r="C8" s="614"/>
      <c r="D8" s="707"/>
      <c r="E8" s="707"/>
      <c r="F8" s="707"/>
      <c r="G8" s="707"/>
      <c r="H8" s="707"/>
      <c r="I8" s="707">
        <v>5250</v>
      </c>
      <c r="J8" s="707">
        <v>5250</v>
      </c>
      <c r="K8" s="707">
        <v>5250</v>
      </c>
      <c r="L8" s="707"/>
      <c r="M8" s="707"/>
      <c r="N8" s="707">
        <v>5000</v>
      </c>
    </row>
    <row r="9" spans="1:203" ht="20" customHeight="1" x14ac:dyDescent="0.2">
      <c r="A9" s="673">
        <v>2000</v>
      </c>
      <c r="B9" s="624" t="s">
        <v>650</v>
      </c>
      <c r="C9" s="614"/>
      <c r="D9" s="707"/>
      <c r="E9" s="707"/>
      <c r="F9" s="707">
        <v>3500</v>
      </c>
      <c r="G9" s="707">
        <v>2500</v>
      </c>
      <c r="H9" s="707">
        <v>3580</v>
      </c>
      <c r="I9" s="707">
        <v>10000</v>
      </c>
      <c r="J9" s="707"/>
      <c r="K9" s="707"/>
      <c r="L9" s="707"/>
      <c r="M9" s="707"/>
      <c r="N9" s="707">
        <v>10000</v>
      </c>
    </row>
    <row r="10" spans="1:203" ht="20" customHeight="1" x14ac:dyDescent="0.2">
      <c r="A10" s="673">
        <v>3000</v>
      </c>
      <c r="B10" s="624" t="s">
        <v>651</v>
      </c>
      <c r="C10" s="614"/>
      <c r="D10" s="707">
        <f>(D8+D9)*30%</f>
        <v>0</v>
      </c>
      <c r="E10" s="707">
        <f>(E8+E9)*15%</f>
        <v>0</v>
      </c>
      <c r="F10" s="707">
        <f>(F8*15%)+(F9*5%)</f>
        <v>175</v>
      </c>
      <c r="G10" s="707">
        <f>(G8*15%)+(G9*5%)</f>
        <v>125</v>
      </c>
      <c r="H10" s="707">
        <f>H9*0.15</f>
        <v>537</v>
      </c>
      <c r="I10" s="707">
        <f>(I8*15%)+(I9*15%)</f>
        <v>2287.5</v>
      </c>
      <c r="J10" s="707">
        <f>(J8*15%)+(J9*15%)</f>
        <v>787.5</v>
      </c>
      <c r="K10" s="707">
        <f>(K8*15%)+(K9*15%)</f>
        <v>787.5</v>
      </c>
      <c r="L10" s="707"/>
      <c r="M10" s="707"/>
      <c r="N10" s="707">
        <f>(N8*0.15)+(N9*0.15)</f>
        <v>2250</v>
      </c>
    </row>
    <row r="11" spans="1:203" ht="20" customHeight="1" x14ac:dyDescent="0.2">
      <c r="A11" s="673">
        <v>4000</v>
      </c>
      <c r="B11" s="624" t="s">
        <v>652</v>
      </c>
      <c r="C11" s="614"/>
      <c r="D11" s="707">
        <v>5000</v>
      </c>
      <c r="E11" s="707">
        <v>5000</v>
      </c>
      <c r="F11" s="707">
        <v>5000</v>
      </c>
      <c r="G11" s="707">
        <v>5000</v>
      </c>
      <c r="H11" s="707">
        <v>5000</v>
      </c>
      <c r="I11" s="707">
        <v>9450</v>
      </c>
      <c r="J11" s="707">
        <v>6500</v>
      </c>
      <c r="K11" s="707">
        <v>6500</v>
      </c>
      <c r="L11" s="707">
        <v>5000</v>
      </c>
      <c r="M11" s="707">
        <v>5000</v>
      </c>
      <c r="N11" s="707">
        <v>5000</v>
      </c>
    </row>
    <row r="12" spans="1:203" ht="20" customHeight="1" x14ac:dyDescent="0.2">
      <c r="A12" s="673">
        <v>5000</v>
      </c>
      <c r="B12" s="624" t="s">
        <v>653</v>
      </c>
      <c r="C12" s="614"/>
      <c r="D12" s="707">
        <v>5000</v>
      </c>
      <c r="E12" s="707">
        <v>5000</v>
      </c>
      <c r="F12" s="707">
        <v>5000</v>
      </c>
      <c r="G12" s="707">
        <v>5000</v>
      </c>
      <c r="H12" s="707">
        <v>5000</v>
      </c>
      <c r="I12" s="707">
        <v>5000</v>
      </c>
      <c r="J12" s="707">
        <v>5000</v>
      </c>
      <c r="K12" s="707">
        <v>5000</v>
      </c>
      <c r="L12" s="707">
        <v>5000</v>
      </c>
      <c r="M12" s="707">
        <v>5000</v>
      </c>
      <c r="N12" s="707">
        <v>5000</v>
      </c>
    </row>
    <row r="13" spans="1:203" ht="20" customHeight="1" x14ac:dyDescent="0.2">
      <c r="A13" s="673">
        <v>6000</v>
      </c>
      <c r="B13" s="624" t="s">
        <v>654</v>
      </c>
      <c r="C13" s="614"/>
      <c r="D13" s="707">
        <v>8000</v>
      </c>
      <c r="E13" s="707">
        <v>8000</v>
      </c>
      <c r="F13" s="707">
        <v>13000</v>
      </c>
      <c r="G13" s="707">
        <v>8000</v>
      </c>
      <c r="H13" s="707"/>
      <c r="I13" s="708">
        <v>29328</v>
      </c>
      <c r="J13" s="707">
        <v>40000</v>
      </c>
      <c r="K13" s="707">
        <v>40000</v>
      </c>
      <c r="L13" s="707">
        <v>13000</v>
      </c>
      <c r="M13" s="707">
        <v>8000</v>
      </c>
      <c r="N13" s="707">
        <v>13000</v>
      </c>
    </row>
    <row r="14" spans="1:203" ht="20" customHeight="1" thickBot="1" x14ac:dyDescent="0.25">
      <c r="A14" s="685">
        <v>5218</v>
      </c>
      <c r="B14" s="629" t="s">
        <v>655</v>
      </c>
      <c r="C14" s="614"/>
      <c r="D14" s="709">
        <f t="shared" ref="D14:N14" si="0">SUM(D8:D13)*0.04</f>
        <v>720</v>
      </c>
      <c r="E14" s="709">
        <f t="shared" si="0"/>
        <v>720</v>
      </c>
      <c r="F14" s="709">
        <f t="shared" si="0"/>
        <v>1067</v>
      </c>
      <c r="G14" s="709">
        <f t="shared" si="0"/>
        <v>825</v>
      </c>
      <c r="H14" s="709">
        <f t="shared" si="0"/>
        <v>564.68000000000006</v>
      </c>
      <c r="I14" s="709">
        <f t="shared" si="0"/>
        <v>2452.62</v>
      </c>
      <c r="J14" s="709">
        <f t="shared" si="0"/>
        <v>2301.5</v>
      </c>
      <c r="K14" s="709">
        <f t="shared" si="0"/>
        <v>2301.5</v>
      </c>
      <c r="L14" s="709">
        <f t="shared" si="0"/>
        <v>920</v>
      </c>
      <c r="M14" s="709">
        <f t="shared" si="0"/>
        <v>720</v>
      </c>
      <c r="N14" s="709">
        <f t="shared" si="0"/>
        <v>1610</v>
      </c>
    </row>
    <row r="15" spans="1:203" ht="20" customHeight="1" thickBot="1" x14ac:dyDescent="0.25">
      <c r="A15" s="710"/>
      <c r="B15" s="711" t="s">
        <v>675</v>
      </c>
      <c r="C15" s="712"/>
      <c r="D15" s="713">
        <f t="shared" ref="D15:N15" si="1">SUM(D8:D14)</f>
        <v>18720</v>
      </c>
      <c r="E15" s="713">
        <f t="shared" si="1"/>
        <v>18720</v>
      </c>
      <c r="F15" s="713">
        <f t="shared" si="1"/>
        <v>27742</v>
      </c>
      <c r="G15" s="713">
        <f t="shared" si="1"/>
        <v>21450</v>
      </c>
      <c r="H15" s="713">
        <f t="shared" si="1"/>
        <v>14681.68</v>
      </c>
      <c r="I15" s="713">
        <f t="shared" si="1"/>
        <v>63768.12</v>
      </c>
      <c r="J15" s="713">
        <f t="shared" si="1"/>
        <v>59839</v>
      </c>
      <c r="K15" s="714">
        <f t="shared" si="1"/>
        <v>59839</v>
      </c>
      <c r="L15" s="713">
        <f t="shared" si="1"/>
        <v>23920</v>
      </c>
      <c r="M15" s="713">
        <f t="shared" si="1"/>
        <v>18720</v>
      </c>
      <c r="N15" s="715">
        <f t="shared" si="1"/>
        <v>41860</v>
      </c>
    </row>
    <row r="16" spans="1:203" ht="20" customHeight="1" x14ac:dyDescent="0.2">
      <c r="C16" s="600"/>
      <c r="D16" s="716"/>
      <c r="E16" s="716"/>
      <c r="F16" s="716"/>
      <c r="G16" s="716"/>
      <c r="H16" s="716"/>
      <c r="I16" s="716"/>
      <c r="J16" s="716"/>
      <c r="K16" s="716"/>
      <c r="L16" s="716"/>
      <c r="M16" s="716"/>
      <c r="N16" s="716"/>
      <c r="O16" s="717"/>
    </row>
    <row r="17" spans="1:16" ht="20" customHeight="1" thickBot="1" x14ac:dyDescent="0.2">
      <c r="C17" s="600"/>
      <c r="D17" s="718"/>
      <c r="E17" s="718"/>
      <c r="F17" s="718"/>
      <c r="G17" s="718"/>
      <c r="H17" s="718"/>
      <c r="I17" s="718"/>
      <c r="J17" s="718"/>
      <c r="K17" s="718"/>
      <c r="L17" s="718"/>
      <c r="M17" s="718"/>
      <c r="N17" s="718"/>
      <c r="O17" s="650"/>
    </row>
    <row r="18" spans="1:16" ht="20" customHeight="1" x14ac:dyDescent="0.15">
      <c r="A18" s="653"/>
      <c r="B18" s="654" t="s">
        <v>635</v>
      </c>
      <c r="C18" s="655"/>
      <c r="D18" s="656" t="s">
        <v>608</v>
      </c>
      <c r="E18" s="656" t="s">
        <v>442</v>
      </c>
      <c r="F18" s="657" t="s">
        <v>676</v>
      </c>
      <c r="G18" s="656" t="s">
        <v>604</v>
      </c>
      <c r="H18" s="656" t="s">
        <v>616</v>
      </c>
      <c r="I18" s="656" t="s">
        <v>607</v>
      </c>
      <c r="J18" s="656" t="s">
        <v>677</v>
      </c>
      <c r="K18" s="719" t="s">
        <v>678</v>
      </c>
      <c r="L18" s="720"/>
      <c r="M18" s="660"/>
      <c r="N18" s="661"/>
    </row>
    <row r="19" spans="1:16" ht="20" customHeight="1" x14ac:dyDescent="0.2">
      <c r="A19" s="662"/>
      <c r="B19" s="603" t="s">
        <v>636</v>
      </c>
      <c r="C19" s="674"/>
      <c r="D19" s="605"/>
      <c r="E19" s="605"/>
      <c r="F19" s="605"/>
      <c r="G19" s="605"/>
      <c r="H19" s="605"/>
      <c r="I19" s="605"/>
      <c r="J19" s="605"/>
      <c r="K19" s="605"/>
      <c r="L19" s="721"/>
      <c r="M19" s="606"/>
      <c r="N19" s="666"/>
    </row>
    <row r="20" spans="1:16" ht="20" customHeight="1" x14ac:dyDescent="0.25">
      <c r="A20" s="662"/>
      <c r="B20" s="608" t="s">
        <v>580</v>
      </c>
      <c r="C20" s="674"/>
      <c r="D20" s="706">
        <v>135063</v>
      </c>
      <c r="E20" s="706">
        <v>135063</v>
      </c>
      <c r="F20" s="706">
        <v>135063</v>
      </c>
      <c r="G20" s="706">
        <v>135063</v>
      </c>
      <c r="H20" s="706">
        <v>135063</v>
      </c>
      <c r="I20" s="706">
        <v>135063</v>
      </c>
      <c r="J20" s="706">
        <v>135063</v>
      </c>
      <c r="K20" s="706">
        <v>135063</v>
      </c>
      <c r="L20" s="722"/>
      <c r="M20" s="610" t="s">
        <v>679</v>
      </c>
      <c r="N20" s="666"/>
    </row>
    <row r="21" spans="1:16" ht="20" customHeight="1" x14ac:dyDescent="0.25">
      <c r="A21" s="662"/>
      <c r="B21" s="608" t="s">
        <v>638</v>
      </c>
      <c r="C21" s="674"/>
      <c r="D21" s="609">
        <v>237055</v>
      </c>
      <c r="E21" s="609">
        <v>237056</v>
      </c>
      <c r="F21" s="667">
        <v>233002</v>
      </c>
      <c r="G21" s="609">
        <v>233009</v>
      </c>
      <c r="H21" s="609">
        <v>237059</v>
      </c>
      <c r="I21" s="609">
        <v>237060</v>
      </c>
      <c r="J21" s="609"/>
      <c r="K21" s="609">
        <v>237096</v>
      </c>
      <c r="L21" s="723"/>
      <c r="M21" s="610" t="s">
        <v>639</v>
      </c>
      <c r="N21" s="666"/>
    </row>
    <row r="22" spans="1:16" ht="20" customHeight="1" x14ac:dyDescent="0.25">
      <c r="A22" s="662"/>
      <c r="B22" s="608" t="s">
        <v>640</v>
      </c>
      <c r="C22" s="674"/>
      <c r="D22" s="611" t="s">
        <v>680</v>
      </c>
      <c r="E22" s="611" t="s">
        <v>644</v>
      </c>
      <c r="F22" s="670" t="s">
        <v>681</v>
      </c>
      <c r="G22" s="611" t="s">
        <v>682</v>
      </c>
      <c r="H22" s="611" t="s">
        <v>683</v>
      </c>
      <c r="I22" s="611" t="s">
        <v>684</v>
      </c>
      <c r="J22" s="611" t="s">
        <v>685</v>
      </c>
      <c r="K22" s="611" t="s">
        <v>645</v>
      </c>
      <c r="L22" s="724"/>
      <c r="M22" s="610" t="s">
        <v>646</v>
      </c>
      <c r="N22" s="666"/>
    </row>
    <row r="23" spans="1:16" ht="20" customHeight="1" x14ac:dyDescent="0.2">
      <c r="A23" s="673" t="s">
        <v>647</v>
      </c>
      <c r="B23" s="613" t="s">
        <v>648</v>
      </c>
      <c r="C23" s="674"/>
      <c r="D23" s="615"/>
      <c r="E23" s="615"/>
      <c r="F23" s="675"/>
      <c r="G23" s="615"/>
      <c r="H23" s="615"/>
      <c r="I23" s="615"/>
      <c r="J23" s="615"/>
      <c r="K23" s="615"/>
      <c r="L23" s="662"/>
      <c r="M23" s="616"/>
      <c r="N23" s="666"/>
    </row>
    <row r="24" spans="1:16" ht="7.5" customHeight="1" x14ac:dyDescent="0.15">
      <c r="A24" s="619"/>
      <c r="B24" s="618"/>
      <c r="C24" s="678"/>
      <c r="D24" s="620"/>
      <c r="E24" s="620"/>
      <c r="F24" s="620"/>
      <c r="G24" s="620"/>
      <c r="H24" s="620"/>
      <c r="I24" s="620"/>
      <c r="J24" s="620"/>
      <c r="K24" s="620"/>
      <c r="L24" s="619"/>
      <c r="M24" s="621"/>
      <c r="N24" s="681"/>
    </row>
    <row r="25" spans="1:16" ht="20" customHeight="1" x14ac:dyDescent="0.2">
      <c r="A25" s="673">
        <v>1000</v>
      </c>
      <c r="B25" s="624" t="s">
        <v>649</v>
      </c>
      <c r="C25" s="674"/>
      <c r="D25" s="707">
        <v>2000</v>
      </c>
      <c r="E25" s="707">
        <v>375000</v>
      </c>
      <c r="F25" s="707">
        <v>5000</v>
      </c>
      <c r="G25" s="707">
        <v>7000</v>
      </c>
      <c r="H25" s="707">
        <v>5000</v>
      </c>
      <c r="I25" s="707">
        <v>5000</v>
      </c>
      <c r="J25" s="707"/>
      <c r="K25" s="725">
        <v>100382</v>
      </c>
      <c r="L25" s="726"/>
      <c r="M25" s="626">
        <f t="shared" ref="M25:M31" si="2">D8+E8+F8+G8+H8+I8+J8+K8+L8+M8+N8+D25+E25+F25+G25+H25+I25+J25+K25</f>
        <v>520132</v>
      </c>
      <c r="N25" s="684"/>
    </row>
    <row r="26" spans="1:16" ht="20" customHeight="1" x14ac:dyDescent="0.2">
      <c r="A26" s="673">
        <v>2000</v>
      </c>
      <c r="B26" s="624" t="s">
        <v>650</v>
      </c>
      <c r="C26" s="674"/>
      <c r="D26" s="707">
        <v>15000</v>
      </c>
      <c r="E26" s="707"/>
      <c r="F26" s="707"/>
      <c r="G26" s="707"/>
      <c r="H26" s="707"/>
      <c r="I26" s="707"/>
      <c r="J26" s="707">
        <v>8000</v>
      </c>
      <c r="K26" s="725">
        <v>200440</v>
      </c>
      <c r="L26" s="726"/>
      <c r="M26" s="626">
        <f t="shared" si="2"/>
        <v>253020</v>
      </c>
      <c r="N26" s="684"/>
    </row>
    <row r="27" spans="1:16" ht="20" customHeight="1" x14ac:dyDescent="0.2">
      <c r="A27" s="673">
        <v>3000</v>
      </c>
      <c r="B27" s="624" t="s">
        <v>651</v>
      </c>
      <c r="C27" s="674"/>
      <c r="D27" s="707">
        <f>(D25*0.15)+(D26*0.15)</f>
        <v>2550</v>
      </c>
      <c r="E27" s="707">
        <v>144375</v>
      </c>
      <c r="F27" s="707">
        <f>(F25*0.15)+(F26*0.15)</f>
        <v>750</v>
      </c>
      <c r="G27" s="707">
        <f>(G25*0.15)+(G26*0.15)</f>
        <v>1050</v>
      </c>
      <c r="H27" s="707">
        <f>(H25*0.15)+(H26*0.15)</f>
        <v>750</v>
      </c>
      <c r="I27" s="707">
        <f>(I25*0.15)+(I26*0.15)</f>
        <v>750</v>
      </c>
      <c r="J27" s="707">
        <f>(J25*0.15)+(J26*0.15)</f>
        <v>1200</v>
      </c>
      <c r="K27" s="725">
        <f>(K25*0.45)+(K26*0.52)</f>
        <v>149400.70000000001</v>
      </c>
      <c r="L27" s="726"/>
      <c r="M27" s="626">
        <f t="shared" si="2"/>
        <v>307775.2</v>
      </c>
      <c r="N27" s="684"/>
    </row>
    <row r="28" spans="1:16" ht="20" customHeight="1" x14ac:dyDescent="0.2">
      <c r="A28" s="673">
        <v>4000</v>
      </c>
      <c r="B28" s="624" t="s">
        <v>652</v>
      </c>
      <c r="C28" s="674"/>
      <c r="D28" s="707">
        <v>5000</v>
      </c>
      <c r="E28" s="707">
        <v>5000</v>
      </c>
      <c r="F28" s="707">
        <v>1000</v>
      </c>
      <c r="G28" s="707"/>
      <c r="H28" s="707">
        <v>10000</v>
      </c>
      <c r="I28" s="707">
        <v>5000</v>
      </c>
      <c r="J28" s="707">
        <v>1000</v>
      </c>
      <c r="K28" s="725">
        <v>5000</v>
      </c>
      <c r="L28" s="726"/>
      <c r="M28" s="626">
        <f t="shared" si="2"/>
        <v>94450</v>
      </c>
      <c r="N28" s="684"/>
    </row>
    <row r="29" spans="1:16" ht="20" customHeight="1" x14ac:dyDescent="0.2">
      <c r="A29" s="673">
        <v>5000</v>
      </c>
      <c r="B29" s="624" t="s">
        <v>653</v>
      </c>
      <c r="C29" s="674"/>
      <c r="D29" s="707">
        <v>3000</v>
      </c>
      <c r="E29" s="707">
        <v>8000</v>
      </c>
      <c r="F29" s="707">
        <v>3000</v>
      </c>
      <c r="G29" s="707">
        <v>3150</v>
      </c>
      <c r="H29" s="707">
        <v>5000</v>
      </c>
      <c r="I29" s="707">
        <v>2000</v>
      </c>
      <c r="J29" s="707">
        <v>1000</v>
      </c>
      <c r="K29" s="725">
        <v>11405</v>
      </c>
      <c r="L29" s="726"/>
      <c r="M29" s="626">
        <f t="shared" si="2"/>
        <v>91555</v>
      </c>
      <c r="N29" s="684"/>
    </row>
    <row r="30" spans="1:16" ht="20" customHeight="1" x14ac:dyDescent="0.2">
      <c r="A30" s="673">
        <v>6000</v>
      </c>
      <c r="B30" s="624" t="s">
        <v>654</v>
      </c>
      <c r="C30" s="674"/>
      <c r="D30" s="707">
        <v>5000</v>
      </c>
      <c r="E30" s="707">
        <v>13000</v>
      </c>
      <c r="F30" s="707"/>
      <c r="G30" s="707"/>
      <c r="H30" s="707"/>
      <c r="I30" s="707">
        <v>8000</v>
      </c>
      <c r="J30" s="707"/>
      <c r="K30" s="725"/>
      <c r="L30" s="726"/>
      <c r="M30" s="626">
        <f t="shared" si="2"/>
        <v>206328</v>
      </c>
      <c r="N30" s="684"/>
      <c r="P30" s="727"/>
    </row>
    <row r="31" spans="1:16" ht="20" customHeight="1" thickBot="1" x14ac:dyDescent="0.25">
      <c r="A31" s="685">
        <v>5218</v>
      </c>
      <c r="B31" s="629" t="s">
        <v>655</v>
      </c>
      <c r="C31" s="674"/>
      <c r="D31" s="709">
        <f>SUM(D25:D30)*0.04</f>
        <v>1302</v>
      </c>
      <c r="E31" s="709">
        <f>SUM(E25:E30)*0.04</f>
        <v>21815</v>
      </c>
      <c r="F31" s="709">
        <f>SUM(F25:F30)*0.04</f>
        <v>390</v>
      </c>
      <c r="G31" s="709">
        <f>SUM(G25:G30)*0.04</f>
        <v>448</v>
      </c>
      <c r="H31" s="709">
        <f>SUM(H25:H30)*0.04</f>
        <v>830</v>
      </c>
      <c r="I31" s="709">
        <v>680</v>
      </c>
      <c r="J31" s="709">
        <v>680</v>
      </c>
      <c r="K31" s="709">
        <f>SUM(K25:K30)*0.04</f>
        <v>18665.108</v>
      </c>
      <c r="L31" s="728"/>
      <c r="M31" s="626">
        <f t="shared" si="2"/>
        <v>59012.408000000003</v>
      </c>
      <c r="N31" s="684"/>
      <c r="P31" s="729"/>
    </row>
    <row r="32" spans="1:16" ht="20" customHeight="1" thickBot="1" x14ac:dyDescent="0.25">
      <c r="A32" s="730"/>
      <c r="B32" s="711" t="s">
        <v>675</v>
      </c>
      <c r="C32" s="731"/>
      <c r="D32" s="715">
        <f t="shared" ref="D32:K32" si="3">SUM(D25:D31)</f>
        <v>33852</v>
      </c>
      <c r="E32" s="715">
        <f t="shared" si="3"/>
        <v>567190</v>
      </c>
      <c r="F32" s="715">
        <f t="shared" si="3"/>
        <v>10140</v>
      </c>
      <c r="G32" s="715">
        <f t="shared" si="3"/>
        <v>11648</v>
      </c>
      <c r="H32" s="715">
        <f t="shared" si="3"/>
        <v>21580</v>
      </c>
      <c r="I32" s="715">
        <f t="shared" si="3"/>
        <v>21430</v>
      </c>
      <c r="J32" s="715">
        <f t="shared" si="3"/>
        <v>11880</v>
      </c>
      <c r="K32" s="732">
        <f t="shared" si="3"/>
        <v>485292.80800000002</v>
      </c>
      <c r="L32" s="733"/>
      <c r="M32" s="734">
        <f>SUM(M25:M31)</f>
        <v>1532272.608</v>
      </c>
      <c r="N32" s="735"/>
      <c r="P32" s="727"/>
    </row>
    <row r="33" spans="4:14" x14ac:dyDescent="0.15">
      <c r="D33" s="736"/>
      <c r="E33" s="736"/>
      <c r="F33" s="736"/>
      <c r="G33" s="736"/>
      <c r="H33" s="736"/>
      <c r="I33" s="736"/>
      <c r="J33" s="736"/>
      <c r="K33" s="737"/>
      <c r="L33" s="736"/>
      <c r="M33" s="738"/>
      <c r="N33" s="739"/>
    </row>
    <row r="34" spans="4:14" x14ac:dyDescent="0.15">
      <c r="D34" s="736"/>
      <c r="E34" s="736"/>
      <c r="F34" s="736"/>
      <c r="G34" s="736"/>
      <c r="H34" s="736"/>
      <c r="I34" s="736"/>
      <c r="J34" s="736"/>
      <c r="K34" s="740"/>
      <c r="M34" s="741"/>
      <c r="N34" s="742"/>
    </row>
    <row r="35" spans="4:14" x14ac:dyDescent="0.15">
      <c r="E35" s="727"/>
      <c r="F35" s="727"/>
      <c r="G35" s="727"/>
      <c r="K35" s="740"/>
    </row>
  </sheetData>
  <mergeCells count="8">
    <mergeCell ref="M31:N31"/>
    <mergeCell ref="M32:N32"/>
    <mergeCell ref="M25:N25"/>
    <mergeCell ref="M26:N26"/>
    <mergeCell ref="M27:N27"/>
    <mergeCell ref="M28:N28"/>
    <mergeCell ref="M29:N29"/>
    <mergeCell ref="M30:N30"/>
  </mergeCells>
  <printOptions horizontalCentered="1" verticalCentered="1"/>
  <pageMargins left="0.45" right="0.45" top="0.5" bottom="0.25" header="0.5" footer="0.25"/>
  <pageSetup scale="65" orientation="landscape" r:id="rId1"/>
  <headerFooter alignWithMargins="0">
    <oddHeader>&amp;LDe Anza College&amp;C&amp;"Arial,Bold"&amp;14Strong Workforce Program - Local Share 
Round 7 - Fund 135063
Preliminary Budget
&amp;R&amp;"Arial,Bold"&amp;12 7/1/2022 to 12/31/2024</oddHeader>
    <oddFooter>&amp;L&amp;"Arial,Bold"&amp;11Updated: 11/29/2022&amp;C&amp;"Arial,Bold"&amp;11Allocation $1,532,273&amp;R3 NURS + PC II @100%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A0A9A-0B14-6245-A312-02DE975B782F}">
  <sheetPr>
    <pageSetUpPr fitToPage="1"/>
  </sheetPr>
  <dimension ref="A1:G42"/>
  <sheetViews>
    <sheetView tabSelected="1" zoomScale="115" zoomScaleNormal="115" workbookViewId="0">
      <selection activeCell="J26" sqref="J26"/>
    </sheetView>
  </sheetViews>
  <sheetFormatPr baseColWidth="10" defaultColWidth="8.83203125" defaultRowHeight="15" x14ac:dyDescent="0.2"/>
  <cols>
    <col min="1" max="1" width="3" style="490" customWidth="1"/>
    <col min="2" max="2" width="19.6640625" style="490" bestFit="1" customWidth="1"/>
    <col min="3" max="3" width="12.83203125" style="490" customWidth="1"/>
    <col min="4" max="4" width="18.5" style="490" customWidth="1"/>
    <col min="5" max="5" width="17.83203125" style="490" customWidth="1"/>
    <col min="6" max="6" width="18.83203125" style="490" customWidth="1"/>
    <col min="7" max="8" width="2.5" style="490" customWidth="1"/>
    <col min="9" max="16384" width="8.83203125" style="490"/>
  </cols>
  <sheetData>
    <row r="1" spans="1:7" ht="23" customHeight="1" x14ac:dyDescent="0.2">
      <c r="A1" s="530"/>
      <c r="B1" s="530"/>
      <c r="C1" s="531" t="s">
        <v>686</v>
      </c>
      <c r="D1" s="530"/>
      <c r="E1" s="530"/>
      <c r="F1" s="531" t="s">
        <v>700</v>
      </c>
      <c r="G1" s="530"/>
    </row>
    <row r="2" spans="1:7" x14ac:dyDescent="0.2">
      <c r="A2" s="530"/>
      <c r="B2" s="534" t="s">
        <v>593</v>
      </c>
      <c r="C2" s="534" t="s">
        <v>594</v>
      </c>
      <c r="D2" s="534" t="s">
        <v>688</v>
      </c>
      <c r="E2" s="534" t="s">
        <v>689</v>
      </c>
      <c r="F2" s="535" t="s">
        <v>690</v>
      </c>
      <c r="G2" s="530"/>
    </row>
    <row r="3" spans="1:7" x14ac:dyDescent="0.2">
      <c r="A3" s="530"/>
      <c r="B3" s="536" t="s">
        <v>599</v>
      </c>
      <c r="C3" s="536">
        <v>237094</v>
      </c>
      <c r="D3" s="743">
        <f>'SWP 6 Balance'!H3</f>
        <v>-2946.2</v>
      </c>
      <c r="E3" s="539">
        <f>'SWP 7 Local Budget'!H15</f>
        <v>14681.68</v>
      </c>
      <c r="F3" s="755">
        <f>D3+E3</f>
        <v>11735.48</v>
      </c>
      <c r="G3" s="530"/>
    </row>
    <row r="4" spans="1:7" x14ac:dyDescent="0.2">
      <c r="A4" s="530"/>
      <c r="B4" s="536" t="s">
        <v>24</v>
      </c>
      <c r="C4" s="536">
        <v>237050</v>
      </c>
      <c r="D4" s="743">
        <f>'SWP 6 Balance'!H4</f>
        <v>43086.87</v>
      </c>
      <c r="E4" s="539">
        <f>'SWP 7 Local Budget'!I15</f>
        <v>63768.12</v>
      </c>
      <c r="F4" s="755">
        <f t="shared" ref="F4:F21" si="0">D4+E4</f>
        <v>106854.99</v>
      </c>
      <c r="G4" s="530"/>
    </row>
    <row r="5" spans="1:7" x14ac:dyDescent="0.2">
      <c r="A5" s="530"/>
      <c r="B5" s="536" t="s">
        <v>600</v>
      </c>
      <c r="C5" s="536">
        <v>237051</v>
      </c>
      <c r="D5" s="743">
        <f>'SWP 6 Balance'!H5</f>
        <v>60153.91</v>
      </c>
      <c r="E5" s="539">
        <f>'SWP 7 Local Budget'!K15</f>
        <v>59839</v>
      </c>
      <c r="F5" s="755">
        <f t="shared" si="0"/>
        <v>119992.91</v>
      </c>
      <c r="G5" s="530"/>
    </row>
    <row r="6" spans="1:7" x14ac:dyDescent="0.2">
      <c r="A6" s="530"/>
      <c r="B6" s="536" t="s">
        <v>601</v>
      </c>
      <c r="C6" s="536">
        <v>237071</v>
      </c>
      <c r="D6" s="743">
        <f>'SWP 6 Balance'!H6</f>
        <v>60216</v>
      </c>
      <c r="E6" s="539">
        <f>'SWP 7 Local Budget'!J15</f>
        <v>59839</v>
      </c>
      <c r="F6" s="755">
        <f t="shared" si="0"/>
        <v>120055</v>
      </c>
      <c r="G6" s="530"/>
    </row>
    <row r="7" spans="1:7" x14ac:dyDescent="0.2">
      <c r="A7" s="530"/>
      <c r="B7" s="536" t="s">
        <v>602</v>
      </c>
      <c r="C7" s="536">
        <v>233002</v>
      </c>
      <c r="D7" s="743">
        <f>'SWP 6 Balance'!H7</f>
        <v>10140</v>
      </c>
      <c r="E7" s="539">
        <f>'SWP 7 Local Budget'!F32</f>
        <v>10140</v>
      </c>
      <c r="F7" s="755">
        <f t="shared" si="0"/>
        <v>20280</v>
      </c>
      <c r="G7" s="530"/>
    </row>
    <row r="8" spans="1:7" x14ac:dyDescent="0.2">
      <c r="A8" s="530"/>
      <c r="B8" s="536" t="s">
        <v>604</v>
      </c>
      <c r="C8" s="536">
        <v>233009</v>
      </c>
      <c r="D8" s="743">
        <f>'SWP 6 Balance'!H8</f>
        <v>-3198.3899999999994</v>
      </c>
      <c r="E8" s="539">
        <f>'SWP 7 Local Budget'!G32</f>
        <v>11648</v>
      </c>
      <c r="F8" s="755">
        <f t="shared" si="0"/>
        <v>8449.61</v>
      </c>
      <c r="G8" s="530"/>
    </row>
    <row r="9" spans="1:7" x14ac:dyDescent="0.2">
      <c r="A9" s="530"/>
      <c r="B9" s="536" t="s">
        <v>606</v>
      </c>
      <c r="C9" s="536">
        <v>237059</v>
      </c>
      <c r="D9" s="743">
        <f>'SWP 6 Balance'!H9</f>
        <v>7153.9699999999993</v>
      </c>
      <c r="E9" s="539">
        <f>'SWP 7 Local Budget'!H32</f>
        <v>21580</v>
      </c>
      <c r="F9" s="755">
        <f t="shared" si="0"/>
        <v>28733.97</v>
      </c>
      <c r="G9" s="530"/>
    </row>
    <row r="10" spans="1:7" x14ac:dyDescent="0.2">
      <c r="A10" s="530"/>
      <c r="B10" s="536" t="s">
        <v>607</v>
      </c>
      <c r="C10" s="536">
        <v>237060</v>
      </c>
      <c r="D10" s="743">
        <f>'SWP 6 Balance'!H10</f>
        <v>14878.5</v>
      </c>
      <c r="E10" s="539">
        <f>'SWP 7 Local Budget'!I32</f>
        <v>21430</v>
      </c>
      <c r="F10" s="755">
        <f t="shared" si="0"/>
        <v>36308.5</v>
      </c>
      <c r="G10" s="530"/>
    </row>
    <row r="11" spans="1:7" x14ac:dyDescent="0.2">
      <c r="A11" s="530"/>
      <c r="B11" s="536" t="s">
        <v>373</v>
      </c>
      <c r="C11" s="536">
        <v>237054</v>
      </c>
      <c r="D11" s="743">
        <f>'SWP 6 Balance'!H11</f>
        <v>32524.369999999995</v>
      </c>
      <c r="E11" s="539">
        <f>'SWP 7 Local Budget'!N15</f>
        <v>41860</v>
      </c>
      <c r="F11" s="755">
        <f t="shared" si="0"/>
        <v>74384.37</v>
      </c>
      <c r="G11" s="530"/>
    </row>
    <row r="12" spans="1:7" x14ac:dyDescent="0.2">
      <c r="A12" s="530"/>
      <c r="B12" s="536" t="s">
        <v>608</v>
      </c>
      <c r="C12" s="536">
        <v>237055</v>
      </c>
      <c r="D12" s="743">
        <f>'SWP 6 Balance'!H12</f>
        <v>20923.57</v>
      </c>
      <c r="E12" s="539">
        <f>'SWP 7 Local Budget'!D32</f>
        <v>33852</v>
      </c>
      <c r="F12" s="755">
        <f t="shared" si="0"/>
        <v>54775.57</v>
      </c>
      <c r="G12" s="530"/>
    </row>
    <row r="13" spans="1:7" x14ac:dyDescent="0.2">
      <c r="A13" s="530"/>
      <c r="B13" s="536" t="s">
        <v>442</v>
      </c>
      <c r="C13" s="536">
        <v>237056</v>
      </c>
      <c r="D13" s="743">
        <f>'SWP 6 Balance'!H13</f>
        <v>266233</v>
      </c>
      <c r="E13" s="539">
        <f>'SWP 7 Local Budget'!E32</f>
        <v>567190</v>
      </c>
      <c r="F13" s="755">
        <f t="shared" si="0"/>
        <v>833423</v>
      </c>
      <c r="G13" s="530"/>
    </row>
    <row r="14" spans="1:7" x14ac:dyDescent="0.2">
      <c r="A14" s="530"/>
      <c r="B14" s="536" t="s">
        <v>611</v>
      </c>
      <c r="C14" s="536">
        <v>237044</v>
      </c>
      <c r="D14" s="743">
        <f>'SWP 6 Balance'!H14</f>
        <v>20800</v>
      </c>
      <c r="E14" s="539">
        <f>'SWP 7 Local Budget'!E15</f>
        <v>18720</v>
      </c>
      <c r="F14" s="755">
        <f t="shared" si="0"/>
        <v>39520</v>
      </c>
      <c r="G14" s="530"/>
    </row>
    <row r="15" spans="1:7" x14ac:dyDescent="0.2">
      <c r="A15" s="530"/>
      <c r="B15" s="536" t="s">
        <v>613</v>
      </c>
      <c r="C15" s="536">
        <v>237095</v>
      </c>
      <c r="D15" s="743">
        <f>'SWP 6 Balance'!H15</f>
        <v>20697.86</v>
      </c>
      <c r="E15" s="539">
        <f>'SWP 7 Local Budget'!D15</f>
        <v>18720</v>
      </c>
      <c r="F15" s="755">
        <f t="shared" si="0"/>
        <v>39417.86</v>
      </c>
      <c r="G15" s="530"/>
    </row>
    <row r="16" spans="1:7" x14ac:dyDescent="0.2">
      <c r="A16" s="530"/>
      <c r="B16" s="536" t="s">
        <v>609</v>
      </c>
      <c r="C16" s="536">
        <v>237046</v>
      </c>
      <c r="D16" s="743">
        <f>'SWP 6 Balance'!H16</f>
        <v>28279.599999999999</v>
      </c>
      <c r="E16" s="539">
        <f>'SWP 7 Local Budget'!F15</f>
        <v>27742</v>
      </c>
      <c r="F16" s="755">
        <f t="shared" si="0"/>
        <v>56021.599999999999</v>
      </c>
      <c r="G16" s="530"/>
    </row>
    <row r="17" spans="1:7" x14ac:dyDescent="0.2">
      <c r="A17" s="530"/>
      <c r="B17" s="536" t="s">
        <v>610</v>
      </c>
      <c r="C17" s="536">
        <v>237052</v>
      </c>
      <c r="D17" s="743">
        <f>'SWP 6 Balance'!H17</f>
        <v>26000</v>
      </c>
      <c r="E17" s="539">
        <f>'SWP 7 Local Budget'!L15</f>
        <v>23920</v>
      </c>
      <c r="F17" s="755">
        <f t="shared" si="0"/>
        <v>49920</v>
      </c>
      <c r="G17" s="530"/>
    </row>
    <row r="18" spans="1:7" x14ac:dyDescent="0.2">
      <c r="A18" s="530"/>
      <c r="B18" s="536" t="s">
        <v>612</v>
      </c>
      <c r="C18" s="536">
        <v>237053</v>
      </c>
      <c r="D18" s="743">
        <f>'SWP 6 Balance'!H18</f>
        <v>18190</v>
      </c>
      <c r="E18" s="539">
        <f>'SWP 7 Local Budget'!M15</f>
        <v>18720</v>
      </c>
      <c r="F18" s="755">
        <f t="shared" si="0"/>
        <v>36910</v>
      </c>
      <c r="G18" s="530"/>
    </row>
    <row r="19" spans="1:7" x14ac:dyDescent="0.2">
      <c r="A19" s="530"/>
      <c r="B19" s="536" t="s">
        <v>614</v>
      </c>
      <c r="C19" s="536">
        <v>237078</v>
      </c>
      <c r="D19" s="743">
        <f>'SWP 6 Balance'!H19</f>
        <v>23530</v>
      </c>
      <c r="E19" s="539">
        <f>'SWP 7 Local Budget'!G15</f>
        <v>21450</v>
      </c>
      <c r="F19" s="755">
        <f>D19+E19</f>
        <v>44980</v>
      </c>
      <c r="G19" s="530"/>
    </row>
    <row r="20" spans="1:7" x14ac:dyDescent="0.2">
      <c r="A20" s="530"/>
      <c r="B20" s="536" t="s">
        <v>691</v>
      </c>
      <c r="C20" s="536"/>
      <c r="D20" s="743"/>
      <c r="E20" s="539">
        <f>'SWP 7 Local Budget'!J32</f>
        <v>11880</v>
      </c>
      <c r="F20" s="755">
        <f t="shared" si="0"/>
        <v>11880</v>
      </c>
      <c r="G20" s="530"/>
    </row>
    <row r="21" spans="1:7" x14ac:dyDescent="0.2">
      <c r="A21" s="530"/>
      <c r="B21" s="536" t="s">
        <v>240</v>
      </c>
      <c r="C21" s="536">
        <v>237096</v>
      </c>
      <c r="D21" s="743">
        <f>'SWP 6 Balance'!H20</f>
        <v>213743.06</v>
      </c>
      <c r="E21" s="745">
        <f>'SWP 7 Local Budget'!K32</f>
        <v>485292.80800000002</v>
      </c>
      <c r="F21" s="755">
        <f t="shared" si="0"/>
        <v>699035.86800000002</v>
      </c>
      <c r="G21" s="530"/>
    </row>
    <row r="22" spans="1:7" ht="16" thickBot="1" x14ac:dyDescent="0.25">
      <c r="A22" s="530"/>
      <c r="B22" s="552" t="s">
        <v>277</v>
      </c>
      <c r="C22" s="553"/>
      <c r="D22" s="554">
        <f>SUM(D3:D21)</f>
        <v>860406.11999999988</v>
      </c>
      <c r="E22" s="746">
        <f>SUM(E3:E21)</f>
        <v>1532272.608</v>
      </c>
      <c r="F22" s="554">
        <f>SUM(F3:F21)</f>
        <v>2392678.7280000001</v>
      </c>
      <c r="G22" s="530"/>
    </row>
    <row r="23" spans="1:7" ht="16" thickTop="1" x14ac:dyDescent="0.2">
      <c r="A23" s="530"/>
      <c r="B23" s="751"/>
      <c r="C23" s="752"/>
      <c r="D23" s="753"/>
      <c r="E23" s="754"/>
      <c r="F23" s="753"/>
      <c r="G23" s="530"/>
    </row>
    <row r="24" spans="1:7" x14ac:dyDescent="0.2">
      <c r="A24" s="530"/>
      <c r="B24" s="751" t="s">
        <v>692</v>
      </c>
      <c r="C24" s="752"/>
      <c r="D24" s="753"/>
      <c r="E24" s="754"/>
      <c r="F24" s="753"/>
      <c r="G24" s="530"/>
    </row>
    <row r="25" spans="1:7" x14ac:dyDescent="0.2">
      <c r="A25" s="530"/>
      <c r="B25" s="751"/>
      <c r="C25" s="752" t="s">
        <v>693</v>
      </c>
      <c r="D25" s="753">
        <f>F3+F4+F5+F6+F7+F8+F35+F36</f>
        <v>427552.99</v>
      </c>
      <c r="E25" s="754"/>
      <c r="F25" s="753"/>
      <c r="G25" s="530"/>
    </row>
    <row r="26" spans="1:7" x14ac:dyDescent="0.2">
      <c r="A26" s="530"/>
      <c r="B26" s="747"/>
      <c r="C26" s="748" t="s">
        <v>694</v>
      </c>
      <c r="D26" s="749">
        <f>F11+F12+F13+F14+F15</f>
        <v>1041520.7999999999</v>
      </c>
      <c r="E26" s="749"/>
      <c r="F26" s="749"/>
      <c r="G26" s="530"/>
    </row>
    <row r="27" spans="1:7" x14ac:dyDescent="0.2">
      <c r="A27" s="530"/>
      <c r="B27" s="748"/>
      <c r="C27" s="748" t="s">
        <v>695</v>
      </c>
      <c r="D27" s="750">
        <f>F16+F17+F18+F19</f>
        <v>187831.6</v>
      </c>
      <c r="E27" s="750"/>
      <c r="F27" s="750"/>
      <c r="G27" s="530"/>
    </row>
    <row r="28" spans="1:7" x14ac:dyDescent="0.2">
      <c r="A28" s="530"/>
      <c r="B28" s="748"/>
      <c r="C28" s="748" t="s">
        <v>240</v>
      </c>
      <c r="D28" s="750">
        <f>F21+F37+F38</f>
        <v>2242025.8679999998</v>
      </c>
      <c r="E28" s="750"/>
      <c r="F28" s="748"/>
      <c r="G28" s="530"/>
    </row>
    <row r="29" spans="1:7" x14ac:dyDescent="0.2">
      <c r="A29" s="530"/>
      <c r="B29" s="748"/>
      <c r="C29" s="557" t="s">
        <v>696</v>
      </c>
      <c r="D29" s="559"/>
      <c r="E29" s="559" t="s">
        <v>699</v>
      </c>
      <c r="F29" s="748"/>
      <c r="G29" s="530"/>
    </row>
    <row r="30" spans="1:7" x14ac:dyDescent="0.2">
      <c r="A30" s="530"/>
      <c r="B30" s="748"/>
      <c r="C30" s="748" t="s">
        <v>697</v>
      </c>
      <c r="D30" s="750">
        <f>F20</f>
        <v>11880</v>
      </c>
      <c r="E30" s="750"/>
      <c r="F30" s="748"/>
      <c r="G30" s="530"/>
    </row>
    <row r="31" spans="1:7" x14ac:dyDescent="0.2">
      <c r="A31" s="530"/>
      <c r="B31" s="748"/>
      <c r="C31" s="748" t="s">
        <v>698</v>
      </c>
      <c r="D31" s="750">
        <f>F9+F10</f>
        <v>65042.47</v>
      </c>
      <c r="E31" s="750"/>
      <c r="F31" s="748"/>
      <c r="G31" s="530"/>
    </row>
    <row r="32" spans="1:7" x14ac:dyDescent="0.2">
      <c r="A32" s="530"/>
      <c r="B32" s="748"/>
      <c r="C32" s="748"/>
      <c r="D32" s="750"/>
      <c r="E32" s="750"/>
      <c r="F32" s="748"/>
      <c r="G32" s="530"/>
    </row>
    <row r="33" spans="1:7" x14ac:dyDescent="0.2">
      <c r="A33" s="530"/>
      <c r="B33" s="530"/>
      <c r="C33" s="531" t="s">
        <v>687</v>
      </c>
      <c r="D33" s="530"/>
      <c r="E33" s="530"/>
      <c r="F33" s="530"/>
      <c r="G33" s="530"/>
    </row>
    <row r="34" spans="1:7" x14ac:dyDescent="0.2">
      <c r="A34" s="530"/>
      <c r="B34" s="534" t="s">
        <v>593</v>
      </c>
      <c r="C34" s="534" t="s">
        <v>594</v>
      </c>
      <c r="D34" s="534" t="s">
        <v>688</v>
      </c>
      <c r="E34" s="534" t="s">
        <v>689</v>
      </c>
      <c r="F34" s="535" t="s">
        <v>690</v>
      </c>
      <c r="G34" s="530"/>
    </row>
    <row r="35" spans="1:7" x14ac:dyDescent="0.2">
      <c r="A35" s="530"/>
      <c r="B35" s="563" t="s">
        <v>24</v>
      </c>
      <c r="C35" s="563">
        <v>237050</v>
      </c>
      <c r="D35" s="744">
        <f>'SWP 6 Balance'!H30</f>
        <v>20093</v>
      </c>
      <c r="E35" s="566"/>
      <c r="F35" s="756">
        <f>D35+E35</f>
        <v>20093</v>
      </c>
      <c r="G35" s="530"/>
    </row>
    <row r="36" spans="1:7" x14ac:dyDescent="0.2">
      <c r="A36" s="530"/>
      <c r="B36" s="536" t="s">
        <v>600</v>
      </c>
      <c r="C36" s="536">
        <v>237051</v>
      </c>
      <c r="D36" s="744">
        <f>'SWP 6 Balance'!H31</f>
        <v>20092</v>
      </c>
      <c r="E36" s="540"/>
      <c r="F36" s="756">
        <f t="shared" ref="F36:F38" si="1">D36+E36</f>
        <v>20092</v>
      </c>
      <c r="G36" s="530"/>
    </row>
    <row r="37" spans="1:7" x14ac:dyDescent="0.2">
      <c r="A37" s="530"/>
      <c r="B37" s="536" t="s">
        <v>624</v>
      </c>
      <c r="C37" s="536">
        <v>237097</v>
      </c>
      <c r="D37" s="744">
        <f>'SWP 6 Balance'!H32</f>
        <v>281520</v>
      </c>
      <c r="E37" s="540">
        <f>'SWP 7 Regional Budget'!H15</f>
        <v>384398</v>
      </c>
      <c r="F37" s="756">
        <f t="shared" si="1"/>
        <v>665918</v>
      </c>
      <c r="G37" s="530"/>
    </row>
    <row r="38" spans="1:7" x14ac:dyDescent="0.2">
      <c r="A38" s="530"/>
      <c r="B38" s="536" t="s">
        <v>625</v>
      </c>
      <c r="C38" s="536">
        <v>237098</v>
      </c>
      <c r="D38" s="744">
        <f>'SWP 6 Balance'!H33</f>
        <v>448720</v>
      </c>
      <c r="E38" s="540">
        <f>'SWP 7 Regional Budget'!I15</f>
        <v>428352</v>
      </c>
      <c r="F38" s="756">
        <f t="shared" si="1"/>
        <v>877072</v>
      </c>
      <c r="G38" s="530"/>
    </row>
    <row r="39" spans="1:7" ht="16" thickBot="1" x14ac:dyDescent="0.25">
      <c r="A39" s="530"/>
      <c r="B39" s="552" t="s">
        <v>277</v>
      </c>
      <c r="C39" s="553"/>
      <c r="D39" s="554">
        <f>SUM(D36:D38)</f>
        <v>750332</v>
      </c>
      <c r="E39" s="554">
        <f>SUM(E36:E38)</f>
        <v>812750</v>
      </c>
      <c r="F39" s="554">
        <f>SUM(F36:F38)</f>
        <v>1563082</v>
      </c>
      <c r="G39" s="530"/>
    </row>
    <row r="40" spans="1:7" ht="16" thickTop="1" x14ac:dyDescent="0.2">
      <c r="A40" s="530"/>
      <c r="B40" s="556"/>
      <c r="C40" s="557"/>
      <c r="D40" s="558"/>
      <c r="E40" s="558"/>
      <c r="F40" s="558"/>
      <c r="G40" s="530"/>
    </row>
    <row r="41" spans="1:7" x14ac:dyDescent="0.2">
      <c r="A41" s="530"/>
      <c r="B41" s="557"/>
      <c r="C41" s="557"/>
      <c r="D41" s="559"/>
      <c r="E41" s="559"/>
      <c r="F41" s="557"/>
      <c r="G41" s="530"/>
    </row>
    <row r="42" spans="1:7" x14ac:dyDescent="0.2">
      <c r="A42" s="530"/>
      <c r="B42" s="530"/>
      <c r="C42" s="530"/>
      <c r="D42" s="530"/>
      <c r="E42" s="530"/>
      <c r="F42" s="530"/>
      <c r="G42" s="530"/>
    </row>
  </sheetData>
  <pageMargins left="0.7" right="0.7" top="0.75" bottom="0.75" header="0.3" footer="0.3"/>
  <pageSetup scale="48"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4"/>
  <sheetViews>
    <sheetView topLeftCell="B1" zoomScale="120" zoomScaleNormal="120" workbookViewId="0">
      <pane ySplit="5" topLeftCell="A6" activePane="bottomLeft" state="frozen"/>
      <selection pane="bottomLeft" activeCell="G112" sqref="G112"/>
    </sheetView>
  </sheetViews>
  <sheetFormatPr baseColWidth="10" defaultColWidth="11.1640625" defaultRowHeight="14" x14ac:dyDescent="0.2"/>
  <cols>
    <col min="1" max="1" width="11.1640625" style="14" customWidth="1"/>
    <col min="2" max="2" width="15.83203125" style="14" customWidth="1"/>
    <col min="3" max="3" width="14.83203125" style="53" customWidth="1"/>
    <col min="4" max="4" width="36.1640625" style="14" customWidth="1"/>
    <col min="5" max="5" width="25.33203125" style="14" customWidth="1"/>
    <col min="6" max="6" width="6" style="54" customWidth="1"/>
    <col min="7" max="8" width="9.1640625" style="54" customWidth="1"/>
    <col min="9" max="9" width="13.1640625" style="14" customWidth="1"/>
    <col min="10" max="10" width="11.1640625" style="14" customWidth="1"/>
    <col min="11" max="11" width="13.83203125" style="14" customWidth="1"/>
    <col min="12" max="12" width="9.5" style="14" customWidth="1"/>
    <col min="13" max="13" width="8.6640625" style="14" customWidth="1"/>
    <col min="14" max="14" width="19.83203125" style="14" customWidth="1"/>
    <col min="15" max="15" width="14.5" style="14" customWidth="1"/>
    <col min="16" max="16" width="13.6640625" style="14" customWidth="1"/>
    <col min="17" max="17" width="15" style="14" customWidth="1"/>
    <col min="18" max="18" width="17.6640625" style="14" customWidth="1"/>
    <col min="19" max="19" width="11.1640625" style="55" customWidth="1"/>
    <col min="20" max="20" width="47.83203125" style="56" customWidth="1"/>
    <col min="21" max="16384" width="11.1640625" style="14"/>
  </cols>
  <sheetData>
    <row r="1" spans="1:20" s="5" customFormat="1" ht="16" x14ac:dyDescent="0.2">
      <c r="A1" s="1"/>
      <c r="B1" s="181" t="s">
        <v>0</v>
      </c>
      <c r="C1" s="181"/>
      <c r="D1" s="181"/>
      <c r="E1" s="181"/>
      <c r="F1" s="181"/>
      <c r="G1" s="181"/>
      <c r="H1" s="181"/>
      <c r="I1" s="181"/>
      <c r="J1" s="181"/>
      <c r="K1" s="181"/>
      <c r="L1" s="181"/>
      <c r="M1" s="181"/>
      <c r="N1" s="181"/>
      <c r="O1" s="2"/>
      <c r="P1" s="2"/>
      <c r="Q1" s="2"/>
      <c r="R1" s="2"/>
      <c r="S1" s="3"/>
      <c r="T1" s="4"/>
    </row>
    <row r="2" spans="1:20" s="5" customFormat="1" ht="16" x14ac:dyDescent="0.2">
      <c r="A2" s="1"/>
      <c r="B2" s="182" t="s">
        <v>1</v>
      </c>
      <c r="C2" s="182"/>
      <c r="D2" s="182"/>
      <c r="E2" s="182"/>
      <c r="F2" s="182"/>
      <c r="G2" s="182"/>
      <c r="H2" s="182"/>
      <c r="I2" s="182"/>
      <c r="J2" s="182"/>
      <c r="K2" s="182"/>
      <c r="L2" s="182"/>
      <c r="M2" s="182"/>
      <c r="N2" s="182"/>
      <c r="O2" s="182"/>
      <c r="P2" s="182"/>
      <c r="Q2" s="182"/>
      <c r="R2" s="182"/>
      <c r="S2" s="3"/>
      <c r="T2" s="4"/>
    </row>
    <row r="3" spans="1:20" s="5" customFormat="1" ht="25" customHeight="1" x14ac:dyDescent="0.2">
      <c r="A3" s="1"/>
      <c r="B3" s="183" t="s">
        <v>2</v>
      </c>
      <c r="C3" s="183"/>
      <c r="D3" s="183"/>
      <c r="E3" s="183"/>
      <c r="F3" s="183"/>
      <c r="G3" s="183"/>
      <c r="H3" s="183"/>
      <c r="I3" s="183"/>
      <c r="J3" s="183"/>
      <c r="K3" s="183"/>
      <c r="L3" s="183"/>
      <c r="M3" s="183"/>
      <c r="N3" s="183"/>
      <c r="O3" s="183"/>
      <c r="P3" s="183"/>
      <c r="Q3" s="183"/>
      <c r="R3" s="183"/>
      <c r="S3" s="3"/>
      <c r="T3" s="4"/>
    </row>
    <row r="4" spans="1:20" s="5" customFormat="1" ht="23" x14ac:dyDescent="0.2">
      <c r="A4" s="184"/>
      <c r="B4" s="184"/>
      <c r="C4" s="184"/>
      <c r="D4" s="184"/>
      <c r="E4" s="184"/>
      <c r="F4" s="184"/>
      <c r="G4" s="184"/>
      <c r="H4" s="184"/>
      <c r="I4" s="184"/>
      <c r="J4" s="184"/>
      <c r="K4" s="184"/>
      <c r="L4" s="184"/>
      <c r="M4" s="184"/>
      <c r="N4" s="184"/>
      <c r="O4" s="185" t="s">
        <v>3</v>
      </c>
      <c r="P4" s="185"/>
      <c r="Q4" s="185"/>
      <c r="R4" s="185"/>
      <c r="S4" s="6"/>
      <c r="T4" s="180" t="s">
        <v>4</v>
      </c>
    </row>
    <row r="5" spans="1:20" s="5" customFormat="1" ht="50" customHeight="1" x14ac:dyDescent="0.2">
      <c r="A5" s="7" t="s">
        <v>5</v>
      </c>
      <c r="B5" s="8" t="s">
        <v>6</v>
      </c>
      <c r="C5" s="8" t="s">
        <v>7</v>
      </c>
      <c r="D5" s="9" t="s">
        <v>8</v>
      </c>
      <c r="E5" s="9" t="s">
        <v>9</v>
      </c>
      <c r="F5" s="7" t="s">
        <v>10</v>
      </c>
      <c r="G5" s="7" t="s">
        <v>11</v>
      </c>
      <c r="H5" s="7" t="s">
        <v>12</v>
      </c>
      <c r="I5" s="7" t="s">
        <v>13</v>
      </c>
      <c r="J5" s="7" t="s">
        <v>14</v>
      </c>
      <c r="K5" s="10" t="s">
        <v>15</v>
      </c>
      <c r="L5" s="7" t="s">
        <v>16</v>
      </c>
      <c r="M5" s="7" t="s">
        <v>17</v>
      </c>
      <c r="N5" s="7" t="s">
        <v>18</v>
      </c>
      <c r="O5" s="11" t="s">
        <v>19</v>
      </c>
      <c r="P5" s="11" t="s">
        <v>20</v>
      </c>
      <c r="Q5" s="11" t="s">
        <v>21</v>
      </c>
      <c r="R5" s="11" t="s">
        <v>22</v>
      </c>
      <c r="S5" s="12" t="s">
        <v>23</v>
      </c>
      <c r="T5" s="180"/>
    </row>
    <row r="6" spans="1:20" ht="53.25" customHeight="1" x14ac:dyDescent="0.2">
      <c r="A6" s="20" t="s">
        <v>24</v>
      </c>
      <c r="B6" s="21" t="s">
        <v>25</v>
      </c>
      <c r="C6" s="31" t="s">
        <v>26</v>
      </c>
      <c r="D6" s="23" t="s">
        <v>27</v>
      </c>
      <c r="E6" s="24" t="s">
        <v>28</v>
      </c>
      <c r="F6" s="25" t="s">
        <v>29</v>
      </c>
      <c r="G6" s="26" t="s">
        <v>30</v>
      </c>
      <c r="H6" s="20">
        <v>20</v>
      </c>
      <c r="I6" s="27">
        <v>35000</v>
      </c>
      <c r="J6" s="26">
        <v>1</v>
      </c>
      <c r="K6" s="29">
        <f t="shared" ref="K6:K35" si="0">I6*J6</f>
        <v>35000</v>
      </c>
      <c r="L6" s="29">
        <f>K6*0.09</f>
        <v>3150</v>
      </c>
      <c r="M6" s="29"/>
      <c r="N6" s="30">
        <f t="shared" ref="N6:N35" si="1">K6+L6+M6</f>
        <v>38150</v>
      </c>
      <c r="O6" s="16"/>
      <c r="P6" s="16"/>
      <c r="Q6" s="17" t="s">
        <v>31</v>
      </c>
      <c r="R6" s="16" t="s">
        <v>31</v>
      </c>
      <c r="S6" s="18"/>
      <c r="T6" s="13" t="s">
        <v>32</v>
      </c>
    </row>
    <row r="7" spans="1:20" ht="24" customHeight="1" x14ac:dyDescent="0.2">
      <c r="A7" s="20" t="s">
        <v>24</v>
      </c>
      <c r="B7" s="21" t="s">
        <v>25</v>
      </c>
      <c r="C7" s="31" t="s">
        <v>33</v>
      </c>
      <c r="D7" s="13" t="s">
        <v>34</v>
      </c>
      <c r="E7" s="24" t="s">
        <v>35</v>
      </c>
      <c r="F7" s="25" t="s">
        <v>36</v>
      </c>
      <c r="G7" s="25" t="s">
        <v>37</v>
      </c>
      <c r="H7" s="20">
        <v>1</v>
      </c>
      <c r="I7" s="29">
        <v>2868</v>
      </c>
      <c r="J7" s="26">
        <v>1</v>
      </c>
      <c r="K7" s="29">
        <f t="shared" si="0"/>
        <v>2868</v>
      </c>
      <c r="L7" s="29">
        <f>K7*0.09125</f>
        <v>261.70499999999998</v>
      </c>
      <c r="M7" s="29">
        <v>0</v>
      </c>
      <c r="N7" s="30">
        <f t="shared" si="1"/>
        <v>3129.7049999999999</v>
      </c>
      <c r="O7" s="17"/>
      <c r="P7" s="16"/>
      <c r="Q7" s="16"/>
      <c r="R7" s="16"/>
      <c r="S7" s="18"/>
      <c r="T7" s="13"/>
    </row>
    <row r="8" spans="1:20" ht="24" customHeight="1" x14ac:dyDescent="0.2">
      <c r="A8" s="20" t="s">
        <v>24</v>
      </c>
      <c r="B8" s="21" t="s">
        <v>25</v>
      </c>
      <c r="C8" s="31" t="s">
        <v>33</v>
      </c>
      <c r="D8" s="13" t="s">
        <v>38</v>
      </c>
      <c r="E8" s="24" t="s">
        <v>35</v>
      </c>
      <c r="F8" s="25" t="s">
        <v>36</v>
      </c>
      <c r="G8" s="25" t="s">
        <v>37</v>
      </c>
      <c r="H8" s="20">
        <v>1</v>
      </c>
      <c r="I8" s="29">
        <v>1000</v>
      </c>
      <c r="J8" s="26">
        <v>1</v>
      </c>
      <c r="K8" s="29">
        <f t="shared" si="0"/>
        <v>1000</v>
      </c>
      <c r="L8" s="29">
        <f>K8*0.09125</f>
        <v>91.25</v>
      </c>
      <c r="M8" s="29">
        <v>0</v>
      </c>
      <c r="N8" s="30">
        <f t="shared" si="1"/>
        <v>1091.25</v>
      </c>
      <c r="O8" s="17"/>
      <c r="P8" s="16"/>
      <c r="Q8" s="16"/>
      <c r="R8" s="16"/>
      <c r="S8" s="18"/>
      <c r="T8" s="13"/>
    </row>
    <row r="9" spans="1:20" ht="24" customHeight="1" x14ac:dyDescent="0.15">
      <c r="A9" s="20" t="s">
        <v>24</v>
      </c>
      <c r="B9" s="21" t="s">
        <v>25</v>
      </c>
      <c r="C9" s="31" t="s">
        <v>33</v>
      </c>
      <c r="D9" s="13" t="s">
        <v>39</v>
      </c>
      <c r="E9" s="24" t="s">
        <v>40</v>
      </c>
      <c r="F9" s="25" t="s">
        <v>36</v>
      </c>
      <c r="G9" s="25" t="s">
        <v>37</v>
      </c>
      <c r="H9" s="20">
        <v>1</v>
      </c>
      <c r="I9" s="29">
        <v>1000</v>
      </c>
      <c r="J9" s="26">
        <v>1</v>
      </c>
      <c r="K9" s="29">
        <f t="shared" si="0"/>
        <v>1000</v>
      </c>
      <c r="L9" s="29">
        <v>0</v>
      </c>
      <c r="M9" s="29">
        <v>0</v>
      </c>
      <c r="N9" s="30">
        <f t="shared" si="1"/>
        <v>1000</v>
      </c>
      <c r="O9" s="48"/>
      <c r="P9" s="26"/>
      <c r="Q9" s="26"/>
      <c r="R9" s="26"/>
      <c r="S9" s="66"/>
      <c r="T9" s="13"/>
    </row>
    <row r="10" spans="1:20" ht="24" customHeight="1" x14ac:dyDescent="0.2">
      <c r="A10" s="20" t="s">
        <v>24</v>
      </c>
      <c r="B10" s="21" t="s">
        <v>25</v>
      </c>
      <c r="C10" s="31" t="s">
        <v>33</v>
      </c>
      <c r="D10" s="13" t="s">
        <v>41</v>
      </c>
      <c r="E10" s="24" t="s">
        <v>40</v>
      </c>
      <c r="F10" s="25" t="s">
        <v>36</v>
      </c>
      <c r="G10" s="25" t="s">
        <v>37</v>
      </c>
      <c r="H10" s="20">
        <v>1</v>
      </c>
      <c r="I10" s="29">
        <v>1300</v>
      </c>
      <c r="J10" s="26">
        <v>1</v>
      </c>
      <c r="K10" s="29">
        <f t="shared" si="0"/>
        <v>1300</v>
      </c>
      <c r="L10" s="29">
        <v>0</v>
      </c>
      <c r="M10" s="29">
        <v>0</v>
      </c>
      <c r="N10" s="30">
        <f t="shared" si="1"/>
        <v>1300</v>
      </c>
      <c r="O10" s="17"/>
      <c r="P10" s="16"/>
      <c r="Q10" s="16"/>
      <c r="R10" s="16"/>
      <c r="S10" s="19"/>
      <c r="T10" s="13"/>
    </row>
    <row r="11" spans="1:20" ht="24" customHeight="1" x14ac:dyDescent="0.2">
      <c r="A11" s="20" t="s">
        <v>24</v>
      </c>
      <c r="B11" s="21" t="s">
        <v>25</v>
      </c>
      <c r="C11" s="22" t="s">
        <v>42</v>
      </c>
      <c r="D11" s="23" t="s">
        <v>43</v>
      </c>
      <c r="E11" s="24" t="s">
        <v>44</v>
      </c>
      <c r="F11" s="25" t="s">
        <v>36</v>
      </c>
      <c r="G11" s="26" t="s">
        <v>45</v>
      </c>
      <c r="H11" s="20">
        <v>1</v>
      </c>
      <c r="I11" s="27">
        <v>5000</v>
      </c>
      <c r="J11" s="26">
        <v>2</v>
      </c>
      <c r="K11" s="29">
        <f t="shared" si="0"/>
        <v>10000</v>
      </c>
      <c r="L11" s="29">
        <v>0</v>
      </c>
      <c r="M11" s="29">
        <v>0</v>
      </c>
      <c r="N11" s="30">
        <f t="shared" si="1"/>
        <v>10000</v>
      </c>
      <c r="O11" s="16"/>
      <c r="P11" s="16"/>
      <c r="Q11" s="17" t="s">
        <v>31</v>
      </c>
      <c r="R11" s="16" t="s">
        <v>31</v>
      </c>
      <c r="S11" s="18"/>
      <c r="T11" s="13"/>
    </row>
    <row r="12" spans="1:20" ht="24" customHeight="1" x14ac:dyDescent="0.2">
      <c r="A12" s="20" t="s">
        <v>24</v>
      </c>
      <c r="B12" s="21" t="s">
        <v>25</v>
      </c>
      <c r="C12" s="31" t="s">
        <v>42</v>
      </c>
      <c r="D12" s="23" t="s">
        <v>46</v>
      </c>
      <c r="E12" s="24" t="s">
        <v>47</v>
      </c>
      <c r="F12" s="25" t="s">
        <v>36</v>
      </c>
      <c r="G12" s="25" t="s">
        <v>45</v>
      </c>
      <c r="H12" s="20">
        <v>1</v>
      </c>
      <c r="I12" s="29">
        <v>2000</v>
      </c>
      <c r="J12" s="26">
        <v>1</v>
      </c>
      <c r="K12" s="29">
        <f t="shared" si="0"/>
        <v>2000</v>
      </c>
      <c r="L12" s="29">
        <v>0</v>
      </c>
      <c r="M12" s="29">
        <v>0</v>
      </c>
      <c r="N12" s="30">
        <f t="shared" si="1"/>
        <v>2000</v>
      </c>
      <c r="O12" s="16"/>
      <c r="P12" s="16"/>
      <c r="Q12" s="17" t="s">
        <v>31</v>
      </c>
      <c r="R12" s="16" t="s">
        <v>31</v>
      </c>
      <c r="S12" s="18"/>
      <c r="T12" s="13"/>
    </row>
    <row r="13" spans="1:20" ht="24" customHeight="1" x14ac:dyDescent="0.2">
      <c r="A13" s="20" t="s">
        <v>24</v>
      </c>
      <c r="B13" s="21" t="s">
        <v>48</v>
      </c>
      <c r="C13" s="31" t="s">
        <v>26</v>
      </c>
      <c r="D13" s="23" t="s">
        <v>49</v>
      </c>
      <c r="E13" s="24" t="s">
        <v>35</v>
      </c>
      <c r="F13" s="25" t="s">
        <v>36</v>
      </c>
      <c r="G13" s="25" t="s">
        <v>37</v>
      </c>
      <c r="H13" s="20">
        <v>30</v>
      </c>
      <c r="I13" s="29">
        <v>5200</v>
      </c>
      <c r="J13" s="26">
        <v>1</v>
      </c>
      <c r="K13" s="29">
        <f t="shared" si="0"/>
        <v>5200</v>
      </c>
      <c r="L13" s="29">
        <f t="shared" ref="L13:L23" si="2">K13*0.09125</f>
        <v>474.5</v>
      </c>
      <c r="M13" s="29">
        <v>600</v>
      </c>
      <c r="N13" s="30">
        <f t="shared" si="1"/>
        <v>6274.5</v>
      </c>
      <c r="O13" s="16"/>
      <c r="P13" s="16"/>
      <c r="Q13" s="17" t="s">
        <v>31</v>
      </c>
      <c r="R13" s="16" t="s">
        <v>31</v>
      </c>
      <c r="S13" s="18"/>
      <c r="T13" s="13" t="s">
        <v>50</v>
      </c>
    </row>
    <row r="14" spans="1:20" ht="24" customHeight="1" x14ac:dyDescent="0.2">
      <c r="A14" s="20" t="s">
        <v>24</v>
      </c>
      <c r="B14" s="21" t="s">
        <v>25</v>
      </c>
      <c r="C14" s="31" t="s">
        <v>26</v>
      </c>
      <c r="D14" s="23" t="s">
        <v>51</v>
      </c>
      <c r="E14" s="24" t="s">
        <v>35</v>
      </c>
      <c r="F14" s="25" t="s">
        <v>36</v>
      </c>
      <c r="G14" s="25" t="s">
        <v>37</v>
      </c>
      <c r="H14" s="20">
        <v>40</v>
      </c>
      <c r="I14" s="29">
        <v>15000</v>
      </c>
      <c r="J14" s="26">
        <v>1</v>
      </c>
      <c r="K14" s="29">
        <f t="shared" si="0"/>
        <v>15000</v>
      </c>
      <c r="L14" s="29">
        <f t="shared" si="2"/>
        <v>1368.75</v>
      </c>
      <c r="M14" s="29">
        <v>500</v>
      </c>
      <c r="N14" s="30">
        <f t="shared" si="1"/>
        <v>16868.75</v>
      </c>
      <c r="O14" s="16"/>
      <c r="P14" s="16"/>
      <c r="Q14" s="17" t="s">
        <v>31</v>
      </c>
      <c r="R14" s="16" t="s">
        <v>31</v>
      </c>
      <c r="S14" s="18"/>
      <c r="T14" s="13"/>
    </row>
    <row r="15" spans="1:20" ht="24" customHeight="1" x14ac:dyDescent="0.2">
      <c r="A15" s="20" t="s">
        <v>24</v>
      </c>
      <c r="B15" s="21" t="s">
        <v>25</v>
      </c>
      <c r="C15" s="31" t="s">
        <v>26</v>
      </c>
      <c r="D15" s="23" t="s">
        <v>52</v>
      </c>
      <c r="E15" s="24" t="s">
        <v>35</v>
      </c>
      <c r="F15" s="25" t="s">
        <v>36</v>
      </c>
      <c r="G15" s="25" t="s">
        <v>37</v>
      </c>
      <c r="H15" s="20">
        <v>10</v>
      </c>
      <c r="I15" s="29">
        <v>7300</v>
      </c>
      <c r="J15" s="26">
        <v>1</v>
      </c>
      <c r="K15" s="29">
        <f t="shared" si="0"/>
        <v>7300</v>
      </c>
      <c r="L15" s="29">
        <f t="shared" si="2"/>
        <v>666.125</v>
      </c>
      <c r="M15" s="29">
        <v>600</v>
      </c>
      <c r="N15" s="30">
        <f t="shared" si="1"/>
        <v>8566.125</v>
      </c>
      <c r="O15" s="16"/>
      <c r="P15" s="16"/>
      <c r="Q15" s="17" t="s">
        <v>31</v>
      </c>
      <c r="R15" s="16" t="s">
        <v>31</v>
      </c>
      <c r="S15" s="18"/>
      <c r="T15" s="13"/>
    </row>
    <row r="16" spans="1:20" ht="24" customHeight="1" x14ac:dyDescent="0.2">
      <c r="A16" s="20" t="s">
        <v>24</v>
      </c>
      <c r="B16" s="21" t="s">
        <v>48</v>
      </c>
      <c r="C16" s="31" t="s">
        <v>26</v>
      </c>
      <c r="D16" s="23" t="s">
        <v>53</v>
      </c>
      <c r="E16" s="24" t="s">
        <v>35</v>
      </c>
      <c r="F16" s="25" t="s">
        <v>36</v>
      </c>
      <c r="G16" s="25" t="s">
        <v>37</v>
      </c>
      <c r="H16" s="20">
        <v>40</v>
      </c>
      <c r="I16" s="29">
        <v>18500</v>
      </c>
      <c r="J16" s="26">
        <v>1</v>
      </c>
      <c r="K16" s="29">
        <f t="shared" si="0"/>
        <v>18500</v>
      </c>
      <c r="L16" s="29">
        <f t="shared" si="2"/>
        <v>1688.125</v>
      </c>
      <c r="M16" s="29">
        <v>700</v>
      </c>
      <c r="N16" s="30">
        <f t="shared" si="1"/>
        <v>20888.125</v>
      </c>
      <c r="O16" s="16"/>
      <c r="P16" s="16"/>
      <c r="Q16" s="17" t="s">
        <v>31</v>
      </c>
      <c r="R16" s="16" t="s">
        <v>31</v>
      </c>
      <c r="S16" s="18"/>
      <c r="T16" s="13" t="s">
        <v>54</v>
      </c>
    </row>
    <row r="17" spans="1:20" ht="24" customHeight="1" x14ac:dyDescent="0.2">
      <c r="A17" s="20" t="s">
        <v>24</v>
      </c>
      <c r="B17" s="21" t="s">
        <v>25</v>
      </c>
      <c r="C17" s="31" t="s">
        <v>55</v>
      </c>
      <c r="D17" s="23" t="s">
        <v>56</v>
      </c>
      <c r="E17" s="24" t="s">
        <v>35</v>
      </c>
      <c r="F17" s="25" t="s">
        <v>36</v>
      </c>
      <c r="G17" s="25" t="s">
        <v>37</v>
      </c>
      <c r="H17" s="20">
        <v>5</v>
      </c>
      <c r="I17" s="29">
        <v>1500</v>
      </c>
      <c r="J17" s="26">
        <v>13</v>
      </c>
      <c r="K17" s="29">
        <f t="shared" si="0"/>
        <v>19500</v>
      </c>
      <c r="L17" s="29">
        <f t="shared" si="2"/>
        <v>1779.375</v>
      </c>
      <c r="M17" s="29">
        <v>0</v>
      </c>
      <c r="N17" s="30">
        <f t="shared" si="1"/>
        <v>21279.375</v>
      </c>
      <c r="O17" s="16"/>
      <c r="P17" s="16"/>
      <c r="Q17" s="17" t="s">
        <v>31</v>
      </c>
      <c r="R17" s="16" t="s">
        <v>31</v>
      </c>
      <c r="S17" s="18"/>
      <c r="T17" s="13"/>
    </row>
    <row r="18" spans="1:20" ht="24" customHeight="1" x14ac:dyDescent="0.2">
      <c r="A18" s="20" t="s">
        <v>24</v>
      </c>
      <c r="B18" s="21" t="s">
        <v>48</v>
      </c>
      <c r="C18" s="31" t="s">
        <v>26</v>
      </c>
      <c r="D18" s="23" t="s">
        <v>57</v>
      </c>
      <c r="E18" s="24" t="s">
        <v>35</v>
      </c>
      <c r="F18" s="25" t="s">
        <v>36</v>
      </c>
      <c r="G18" s="25" t="s">
        <v>45</v>
      </c>
      <c r="H18" s="20">
        <v>25</v>
      </c>
      <c r="I18" s="29">
        <v>86390</v>
      </c>
      <c r="J18" s="26">
        <v>1</v>
      </c>
      <c r="K18" s="29">
        <f t="shared" si="0"/>
        <v>86390</v>
      </c>
      <c r="L18" s="29">
        <f t="shared" si="2"/>
        <v>7883.0874999999996</v>
      </c>
      <c r="M18" s="29"/>
      <c r="N18" s="30">
        <f t="shared" si="1"/>
        <v>94273.087499999994</v>
      </c>
      <c r="O18" s="16"/>
      <c r="P18" s="16"/>
      <c r="Q18" s="17" t="s">
        <v>31</v>
      </c>
      <c r="R18" s="16" t="s">
        <v>31</v>
      </c>
      <c r="S18" s="18"/>
      <c r="T18" s="13"/>
    </row>
    <row r="19" spans="1:20" ht="24" customHeight="1" x14ac:dyDescent="0.2">
      <c r="A19" s="20" t="s">
        <v>24</v>
      </c>
      <c r="B19" s="21" t="s">
        <v>25</v>
      </c>
      <c r="C19" s="31" t="s">
        <v>58</v>
      </c>
      <c r="D19" s="23" t="s">
        <v>59</v>
      </c>
      <c r="E19" s="24" t="s">
        <v>35</v>
      </c>
      <c r="F19" s="25" t="s">
        <v>36</v>
      </c>
      <c r="G19" s="25" t="s">
        <v>30</v>
      </c>
      <c r="H19" s="20">
        <v>10</v>
      </c>
      <c r="I19" s="29">
        <v>800</v>
      </c>
      <c r="J19" s="26">
        <v>12</v>
      </c>
      <c r="K19" s="29">
        <f t="shared" si="0"/>
        <v>9600</v>
      </c>
      <c r="L19" s="29">
        <f t="shared" si="2"/>
        <v>876</v>
      </c>
      <c r="M19" s="29">
        <v>400</v>
      </c>
      <c r="N19" s="30">
        <f t="shared" si="1"/>
        <v>10876</v>
      </c>
      <c r="O19" s="16"/>
      <c r="P19" s="16"/>
      <c r="Q19" s="17" t="s">
        <v>31</v>
      </c>
      <c r="R19" s="16" t="s">
        <v>31</v>
      </c>
      <c r="S19" s="18"/>
      <c r="T19" s="13" t="s">
        <v>60</v>
      </c>
    </row>
    <row r="20" spans="1:20" ht="45" customHeight="1" x14ac:dyDescent="0.2">
      <c r="A20" s="20" t="s">
        <v>24</v>
      </c>
      <c r="B20" s="21" t="s">
        <v>25</v>
      </c>
      <c r="C20" s="31" t="s">
        <v>61</v>
      </c>
      <c r="D20" s="23" t="s">
        <v>62</v>
      </c>
      <c r="E20" s="24" t="s">
        <v>35</v>
      </c>
      <c r="F20" s="25" t="s">
        <v>36</v>
      </c>
      <c r="G20" s="25" t="s">
        <v>30</v>
      </c>
      <c r="H20" s="20">
        <v>10</v>
      </c>
      <c r="I20" s="29">
        <v>500</v>
      </c>
      <c r="J20" s="26">
        <v>3</v>
      </c>
      <c r="K20" s="29">
        <f t="shared" si="0"/>
        <v>1500</v>
      </c>
      <c r="L20" s="29">
        <f t="shared" si="2"/>
        <v>136.875</v>
      </c>
      <c r="M20" s="29">
        <v>100</v>
      </c>
      <c r="N20" s="30">
        <f t="shared" si="1"/>
        <v>1736.875</v>
      </c>
      <c r="O20" s="16"/>
      <c r="P20" s="16"/>
      <c r="Q20" s="17" t="s">
        <v>31</v>
      </c>
      <c r="R20" s="16" t="s">
        <v>31</v>
      </c>
      <c r="S20" s="18"/>
      <c r="T20" s="13"/>
    </row>
    <row r="21" spans="1:20" ht="24" customHeight="1" x14ac:dyDescent="0.2">
      <c r="A21" s="20" t="s">
        <v>24</v>
      </c>
      <c r="B21" s="21" t="s">
        <v>25</v>
      </c>
      <c r="C21" s="31" t="s">
        <v>61</v>
      </c>
      <c r="D21" s="23" t="s">
        <v>63</v>
      </c>
      <c r="E21" s="24" t="s">
        <v>35</v>
      </c>
      <c r="F21" s="25" t="s">
        <v>36</v>
      </c>
      <c r="G21" s="25" t="s">
        <v>30</v>
      </c>
      <c r="H21" s="20">
        <v>20</v>
      </c>
      <c r="I21" s="29">
        <v>1700</v>
      </c>
      <c r="J21" s="26">
        <v>3</v>
      </c>
      <c r="K21" s="29">
        <f t="shared" si="0"/>
        <v>5100</v>
      </c>
      <c r="L21" s="29">
        <f t="shared" si="2"/>
        <v>465.375</v>
      </c>
      <c r="M21" s="29">
        <v>100</v>
      </c>
      <c r="N21" s="30">
        <f t="shared" si="1"/>
        <v>5665.375</v>
      </c>
      <c r="O21" s="16"/>
      <c r="P21" s="16"/>
      <c r="Q21" s="17" t="s">
        <v>31</v>
      </c>
      <c r="R21" s="16" t="s">
        <v>31</v>
      </c>
      <c r="S21" s="18"/>
      <c r="T21" s="13"/>
    </row>
    <row r="22" spans="1:20" ht="24" customHeight="1" x14ac:dyDescent="0.2">
      <c r="A22" s="20" t="s">
        <v>24</v>
      </c>
      <c r="B22" s="21" t="s">
        <v>25</v>
      </c>
      <c r="C22" s="31" t="s">
        <v>64</v>
      </c>
      <c r="D22" s="23" t="s">
        <v>65</v>
      </c>
      <c r="E22" s="24" t="s">
        <v>35</v>
      </c>
      <c r="F22" s="25" t="s">
        <v>36</v>
      </c>
      <c r="G22" s="25" t="s">
        <v>30</v>
      </c>
      <c r="H22" s="20">
        <v>5</v>
      </c>
      <c r="I22" s="29">
        <v>65</v>
      </c>
      <c r="J22" s="26">
        <v>13</v>
      </c>
      <c r="K22" s="29">
        <f t="shared" si="0"/>
        <v>845</v>
      </c>
      <c r="L22" s="29">
        <f t="shared" si="2"/>
        <v>77.106250000000003</v>
      </c>
      <c r="M22" s="29">
        <v>0</v>
      </c>
      <c r="N22" s="30">
        <f t="shared" si="1"/>
        <v>922.10625000000005</v>
      </c>
      <c r="O22" s="16"/>
      <c r="P22" s="16"/>
      <c r="Q22" s="17" t="s">
        <v>31</v>
      </c>
      <c r="R22" s="16" t="s">
        <v>31</v>
      </c>
      <c r="S22" s="18"/>
      <c r="T22" s="13"/>
    </row>
    <row r="23" spans="1:20" ht="24" customHeight="1" x14ac:dyDescent="0.2">
      <c r="A23" s="20" t="s">
        <v>24</v>
      </c>
      <c r="B23" s="21" t="s">
        <v>48</v>
      </c>
      <c r="C23" s="31" t="s">
        <v>66</v>
      </c>
      <c r="D23" s="23" t="s">
        <v>67</v>
      </c>
      <c r="E23" s="24" t="s">
        <v>35</v>
      </c>
      <c r="F23" s="25" t="s">
        <v>68</v>
      </c>
      <c r="G23" s="25" t="s">
        <v>37</v>
      </c>
      <c r="H23" s="20">
        <v>45</v>
      </c>
      <c r="I23" s="29">
        <v>200000</v>
      </c>
      <c r="J23" s="26">
        <v>1</v>
      </c>
      <c r="K23" s="29">
        <f t="shared" si="0"/>
        <v>200000</v>
      </c>
      <c r="L23" s="29">
        <f t="shared" si="2"/>
        <v>18250</v>
      </c>
      <c r="M23" s="29">
        <v>0</v>
      </c>
      <c r="N23" s="30">
        <f t="shared" si="1"/>
        <v>218250</v>
      </c>
      <c r="O23" s="16"/>
      <c r="P23" s="16"/>
      <c r="Q23" s="17"/>
      <c r="R23" s="16"/>
      <c r="S23" s="18"/>
      <c r="T23" s="13" t="s">
        <v>69</v>
      </c>
    </row>
    <row r="24" spans="1:20" ht="21.75" customHeight="1" x14ac:dyDescent="0.15">
      <c r="A24" s="20" t="s">
        <v>24</v>
      </c>
      <c r="B24" s="21" t="s">
        <v>48</v>
      </c>
      <c r="C24" s="31" t="s">
        <v>66</v>
      </c>
      <c r="D24" s="65" t="s">
        <v>70</v>
      </c>
      <c r="E24" s="24" t="s">
        <v>71</v>
      </c>
      <c r="F24" s="25" t="s">
        <v>68</v>
      </c>
      <c r="G24" s="25" t="s">
        <v>45</v>
      </c>
      <c r="H24" s="20">
        <v>45</v>
      </c>
      <c r="I24" s="29">
        <v>1000000</v>
      </c>
      <c r="J24" s="26">
        <v>1</v>
      </c>
      <c r="K24" s="29">
        <f t="shared" si="0"/>
        <v>1000000</v>
      </c>
      <c r="L24" s="29"/>
      <c r="M24" s="29"/>
      <c r="N24" s="30">
        <f t="shared" si="1"/>
        <v>1000000</v>
      </c>
      <c r="O24" s="16"/>
      <c r="P24" s="16"/>
      <c r="Q24" s="17"/>
      <c r="R24" s="16"/>
      <c r="S24" s="18"/>
      <c r="T24" s="13"/>
    </row>
    <row r="25" spans="1:20" ht="21.75" customHeight="1" x14ac:dyDescent="0.15">
      <c r="A25" s="20" t="s">
        <v>24</v>
      </c>
      <c r="B25" s="21" t="s">
        <v>48</v>
      </c>
      <c r="C25" s="31" t="s">
        <v>66</v>
      </c>
      <c r="D25" s="65" t="s">
        <v>72</v>
      </c>
      <c r="E25" s="24" t="s">
        <v>71</v>
      </c>
      <c r="F25" s="25" t="s">
        <v>68</v>
      </c>
      <c r="G25" s="25" t="s">
        <v>45</v>
      </c>
      <c r="H25" s="20">
        <v>50</v>
      </c>
      <c r="I25" s="29">
        <v>40000000</v>
      </c>
      <c r="J25" s="26">
        <v>1</v>
      </c>
      <c r="K25" s="29">
        <f t="shared" si="0"/>
        <v>40000000</v>
      </c>
      <c r="L25" s="29"/>
      <c r="M25" s="29"/>
      <c r="N25" s="30">
        <f t="shared" si="1"/>
        <v>40000000</v>
      </c>
      <c r="O25" s="16"/>
      <c r="P25" s="16"/>
      <c r="Q25" s="17"/>
      <c r="R25" s="16"/>
      <c r="S25" s="18"/>
      <c r="T25" s="13"/>
    </row>
    <row r="26" spans="1:20" ht="21.75" customHeight="1" x14ac:dyDescent="0.15">
      <c r="A26" s="20" t="s">
        <v>24</v>
      </c>
      <c r="B26" s="21" t="s">
        <v>25</v>
      </c>
      <c r="C26" s="31" t="s">
        <v>26</v>
      </c>
      <c r="D26" s="65" t="s">
        <v>73</v>
      </c>
      <c r="E26" s="24" t="s">
        <v>35</v>
      </c>
      <c r="F26" s="25" t="s">
        <v>36</v>
      </c>
      <c r="G26" s="25" t="s">
        <v>37</v>
      </c>
      <c r="H26" s="20">
        <v>20</v>
      </c>
      <c r="I26" s="29">
        <v>3500</v>
      </c>
      <c r="J26" s="26">
        <v>1</v>
      </c>
      <c r="K26" s="29">
        <f t="shared" si="0"/>
        <v>3500</v>
      </c>
      <c r="L26" s="29">
        <f t="shared" ref="L26:L35" si="3">K26*0.09125</f>
        <v>319.375</v>
      </c>
      <c r="M26" s="29">
        <v>850</v>
      </c>
      <c r="N26" s="30">
        <f t="shared" si="1"/>
        <v>4669.375</v>
      </c>
      <c r="O26" s="16"/>
      <c r="P26" s="16"/>
      <c r="Q26" s="17" t="s">
        <v>31</v>
      </c>
      <c r="R26" s="16" t="s">
        <v>31</v>
      </c>
      <c r="S26" s="18"/>
      <c r="T26" s="13"/>
    </row>
    <row r="27" spans="1:20" ht="21.75" customHeight="1" x14ac:dyDescent="0.15">
      <c r="A27" s="20" t="s">
        <v>24</v>
      </c>
      <c r="B27" s="21" t="s">
        <v>25</v>
      </c>
      <c r="C27" s="31" t="s">
        <v>74</v>
      </c>
      <c r="D27" s="65" t="s">
        <v>75</v>
      </c>
      <c r="E27" s="24" t="s">
        <v>35</v>
      </c>
      <c r="F27" s="25" t="s">
        <v>36</v>
      </c>
      <c r="G27" s="25" t="s">
        <v>37</v>
      </c>
      <c r="H27" s="20">
        <v>5</v>
      </c>
      <c r="I27" s="29">
        <v>60</v>
      </c>
      <c r="J27" s="26">
        <v>24</v>
      </c>
      <c r="K27" s="29">
        <f>I27*J27</f>
        <v>1440</v>
      </c>
      <c r="L27" s="29">
        <f t="shared" si="3"/>
        <v>131.4</v>
      </c>
      <c r="M27" s="29">
        <v>50</v>
      </c>
      <c r="N27" s="30">
        <f t="shared" si="1"/>
        <v>1621.4</v>
      </c>
      <c r="O27" s="16"/>
      <c r="P27" s="16"/>
      <c r="Q27" s="17" t="s">
        <v>31</v>
      </c>
      <c r="R27" s="16" t="s">
        <v>31</v>
      </c>
      <c r="S27" s="18"/>
      <c r="T27" s="13"/>
    </row>
    <row r="28" spans="1:20" ht="21.75" customHeight="1" x14ac:dyDescent="0.15">
      <c r="A28" s="20" t="s">
        <v>24</v>
      </c>
      <c r="B28" s="21" t="s">
        <v>25</v>
      </c>
      <c r="C28" s="31" t="s">
        <v>26</v>
      </c>
      <c r="D28" s="65" t="s">
        <v>76</v>
      </c>
      <c r="E28" s="24" t="s">
        <v>35</v>
      </c>
      <c r="F28" s="25" t="s">
        <v>36</v>
      </c>
      <c r="G28" s="25" t="s">
        <v>45</v>
      </c>
      <c r="H28" s="20">
        <v>5</v>
      </c>
      <c r="I28" s="29">
        <v>1950</v>
      </c>
      <c r="J28" s="26">
        <v>1</v>
      </c>
      <c r="K28" s="29">
        <f t="shared" si="0"/>
        <v>1950</v>
      </c>
      <c r="L28" s="29">
        <f t="shared" si="3"/>
        <v>177.9375</v>
      </c>
      <c r="M28" s="29">
        <v>100</v>
      </c>
      <c r="N28" s="30">
        <f t="shared" si="1"/>
        <v>2227.9375</v>
      </c>
      <c r="O28" s="16"/>
      <c r="P28" s="16"/>
      <c r="Q28" s="17" t="s">
        <v>31</v>
      </c>
      <c r="R28" s="16" t="s">
        <v>31</v>
      </c>
      <c r="S28" s="18"/>
      <c r="T28" s="13"/>
    </row>
    <row r="29" spans="1:20" ht="21.75" customHeight="1" x14ac:dyDescent="0.15">
      <c r="A29" s="20" t="s">
        <v>24</v>
      </c>
      <c r="B29" s="21" t="s">
        <v>25</v>
      </c>
      <c r="C29" s="31" t="s">
        <v>26</v>
      </c>
      <c r="D29" s="65" t="s">
        <v>77</v>
      </c>
      <c r="E29" s="24" t="s">
        <v>35</v>
      </c>
      <c r="F29" s="25" t="s">
        <v>36</v>
      </c>
      <c r="G29" s="25" t="s">
        <v>37</v>
      </c>
      <c r="H29" s="20">
        <v>5</v>
      </c>
      <c r="I29" s="29">
        <v>121.5</v>
      </c>
      <c r="J29" s="26">
        <v>10</v>
      </c>
      <c r="K29" s="29">
        <f t="shared" si="0"/>
        <v>1215</v>
      </c>
      <c r="L29" s="29">
        <f t="shared" si="3"/>
        <v>110.86874999999999</v>
      </c>
      <c r="M29" s="29"/>
      <c r="N29" s="30">
        <f t="shared" si="1"/>
        <v>1325.8687500000001</v>
      </c>
      <c r="O29" s="16"/>
      <c r="P29" s="16"/>
      <c r="Q29" s="17" t="s">
        <v>31</v>
      </c>
      <c r="R29" s="16" t="s">
        <v>31</v>
      </c>
      <c r="S29" s="18"/>
      <c r="T29" s="13"/>
    </row>
    <row r="30" spans="1:20" ht="21.75" customHeight="1" x14ac:dyDescent="0.15">
      <c r="A30" s="20" t="s">
        <v>24</v>
      </c>
      <c r="B30" s="21" t="s">
        <v>25</v>
      </c>
      <c r="C30" s="31" t="s">
        <v>26</v>
      </c>
      <c r="D30" s="65" t="s">
        <v>78</v>
      </c>
      <c r="E30" s="24" t="s">
        <v>35</v>
      </c>
      <c r="F30" s="25" t="s">
        <v>36</v>
      </c>
      <c r="G30" s="25" t="s">
        <v>45</v>
      </c>
      <c r="H30" s="20">
        <v>5</v>
      </c>
      <c r="I30" s="29">
        <v>36</v>
      </c>
      <c r="J30" s="26">
        <v>10</v>
      </c>
      <c r="K30" s="29">
        <f t="shared" si="0"/>
        <v>360</v>
      </c>
      <c r="L30" s="29">
        <f t="shared" si="3"/>
        <v>32.85</v>
      </c>
      <c r="M30" s="29"/>
      <c r="N30" s="30">
        <f t="shared" si="1"/>
        <v>392.85</v>
      </c>
      <c r="O30" s="16"/>
      <c r="P30" s="16"/>
      <c r="Q30" s="17" t="s">
        <v>31</v>
      </c>
      <c r="R30" s="16" t="s">
        <v>31</v>
      </c>
      <c r="S30" s="18"/>
      <c r="T30" s="13"/>
    </row>
    <row r="31" spans="1:20" ht="21.75" customHeight="1" x14ac:dyDescent="0.15">
      <c r="A31" s="20" t="s">
        <v>24</v>
      </c>
      <c r="B31" s="21" t="s">
        <v>79</v>
      </c>
      <c r="C31" s="31" t="s">
        <v>26</v>
      </c>
      <c r="D31" s="65" t="s">
        <v>80</v>
      </c>
      <c r="E31" s="24" t="s">
        <v>35</v>
      </c>
      <c r="F31" s="25" t="s">
        <v>36</v>
      </c>
      <c r="G31" s="25" t="s">
        <v>45</v>
      </c>
      <c r="H31" s="20">
        <v>25</v>
      </c>
      <c r="I31" s="29">
        <v>4467</v>
      </c>
      <c r="J31" s="26">
        <v>1</v>
      </c>
      <c r="K31" s="29">
        <f t="shared" si="0"/>
        <v>4467</v>
      </c>
      <c r="L31" s="29">
        <f t="shared" si="3"/>
        <v>407.61374999999998</v>
      </c>
      <c r="M31" s="29">
        <v>400</v>
      </c>
      <c r="N31" s="30">
        <f t="shared" si="1"/>
        <v>5274.6137500000004</v>
      </c>
      <c r="O31" s="16"/>
      <c r="P31" s="16"/>
      <c r="Q31" s="17" t="s">
        <v>31</v>
      </c>
      <c r="R31" s="16" t="s">
        <v>31</v>
      </c>
      <c r="S31" s="18"/>
      <c r="T31" s="13"/>
    </row>
    <row r="32" spans="1:20" ht="21.75" customHeight="1" x14ac:dyDescent="0.15">
      <c r="A32" s="20" t="s">
        <v>24</v>
      </c>
      <c r="B32" s="21" t="s">
        <v>25</v>
      </c>
      <c r="C32" s="31" t="s">
        <v>26</v>
      </c>
      <c r="D32" s="65" t="s">
        <v>81</v>
      </c>
      <c r="E32" s="24" t="s">
        <v>35</v>
      </c>
      <c r="F32" s="25" t="s">
        <v>36</v>
      </c>
      <c r="G32" s="25" t="s">
        <v>45</v>
      </c>
      <c r="H32" s="20">
        <v>10</v>
      </c>
      <c r="I32" s="29">
        <v>650</v>
      </c>
      <c r="J32" s="26">
        <v>4</v>
      </c>
      <c r="K32" s="29">
        <f t="shared" si="0"/>
        <v>2600</v>
      </c>
      <c r="L32" s="29">
        <f t="shared" si="3"/>
        <v>237.25</v>
      </c>
      <c r="M32" s="29"/>
      <c r="N32" s="30">
        <f t="shared" si="1"/>
        <v>2837.25</v>
      </c>
      <c r="O32" s="16"/>
      <c r="P32" s="16"/>
      <c r="Q32" s="17" t="s">
        <v>31</v>
      </c>
      <c r="R32" s="16" t="s">
        <v>31</v>
      </c>
      <c r="S32" s="18"/>
      <c r="T32" s="13"/>
    </row>
    <row r="33" spans="1:20" ht="21.75" customHeight="1" x14ac:dyDescent="0.15">
      <c r="A33" s="20" t="s">
        <v>24</v>
      </c>
      <c r="B33" s="21" t="s">
        <v>79</v>
      </c>
      <c r="C33" s="31" t="s">
        <v>26</v>
      </c>
      <c r="D33" s="65" t="s">
        <v>82</v>
      </c>
      <c r="E33" s="24" t="s">
        <v>35</v>
      </c>
      <c r="F33" s="25" t="s">
        <v>36</v>
      </c>
      <c r="G33" s="25" t="s">
        <v>45</v>
      </c>
      <c r="H33" s="20">
        <v>10</v>
      </c>
      <c r="I33" s="29">
        <v>7000</v>
      </c>
      <c r="J33" s="26">
        <v>1</v>
      </c>
      <c r="K33" s="29">
        <f t="shared" si="0"/>
        <v>7000</v>
      </c>
      <c r="L33" s="29">
        <f t="shared" si="3"/>
        <v>638.75</v>
      </c>
      <c r="M33" s="29">
        <v>200</v>
      </c>
      <c r="N33" s="30">
        <f t="shared" si="1"/>
        <v>7838.75</v>
      </c>
      <c r="O33" s="16"/>
      <c r="P33" s="16"/>
      <c r="Q33" s="17" t="s">
        <v>31</v>
      </c>
      <c r="R33" s="16" t="s">
        <v>31</v>
      </c>
      <c r="S33" s="18"/>
      <c r="T33" s="13"/>
    </row>
    <row r="34" spans="1:20" ht="21.75" customHeight="1" x14ac:dyDescent="0.15">
      <c r="A34" s="20" t="s">
        <v>24</v>
      </c>
      <c r="B34" s="21" t="s">
        <v>25</v>
      </c>
      <c r="C34" s="31" t="s">
        <v>74</v>
      </c>
      <c r="D34" s="65" t="s">
        <v>83</v>
      </c>
      <c r="E34" s="24" t="s">
        <v>35</v>
      </c>
      <c r="F34" s="25" t="s">
        <v>36</v>
      </c>
      <c r="G34" s="25" t="s">
        <v>45</v>
      </c>
      <c r="H34" s="20">
        <v>40</v>
      </c>
      <c r="I34" s="29">
        <v>3000</v>
      </c>
      <c r="J34" s="26">
        <v>1</v>
      </c>
      <c r="K34" s="29">
        <f t="shared" si="0"/>
        <v>3000</v>
      </c>
      <c r="L34" s="29">
        <f t="shared" si="3"/>
        <v>273.75</v>
      </c>
      <c r="M34" s="29">
        <v>25</v>
      </c>
      <c r="N34" s="30">
        <f t="shared" si="1"/>
        <v>3298.75</v>
      </c>
      <c r="O34" s="16"/>
      <c r="P34" s="16"/>
      <c r="Q34" s="17" t="s">
        <v>31</v>
      </c>
      <c r="R34" s="16" t="s">
        <v>31</v>
      </c>
      <c r="S34" s="18"/>
      <c r="T34" s="13"/>
    </row>
    <row r="35" spans="1:20" ht="21.75" customHeight="1" x14ac:dyDescent="0.15">
      <c r="A35" s="20" t="s">
        <v>24</v>
      </c>
      <c r="B35" s="21" t="s">
        <v>25</v>
      </c>
      <c r="C35" s="31" t="s">
        <v>84</v>
      </c>
      <c r="D35" s="65" t="s">
        <v>85</v>
      </c>
      <c r="E35" s="15" t="s">
        <v>35</v>
      </c>
      <c r="F35" s="25" t="s">
        <v>36</v>
      </c>
      <c r="G35" s="25" t="s">
        <v>45</v>
      </c>
      <c r="H35" s="20">
        <v>1</v>
      </c>
      <c r="I35" s="28">
        <v>200</v>
      </c>
      <c r="J35" s="26">
        <v>4</v>
      </c>
      <c r="K35" s="28">
        <f t="shared" si="0"/>
        <v>800</v>
      </c>
      <c r="L35" s="29">
        <f t="shared" si="3"/>
        <v>73</v>
      </c>
      <c r="M35" s="29">
        <v>200</v>
      </c>
      <c r="N35" s="30">
        <f t="shared" si="1"/>
        <v>1073</v>
      </c>
      <c r="O35" s="16"/>
      <c r="P35" s="16"/>
      <c r="Q35" s="17"/>
      <c r="R35" s="16"/>
      <c r="S35" s="18"/>
      <c r="T35" s="13"/>
    </row>
    <row r="36" spans="1:20" ht="21.75" customHeight="1" x14ac:dyDescent="0.15">
      <c r="A36" s="73"/>
      <c r="B36" s="87"/>
      <c r="C36" s="75"/>
      <c r="D36" s="88"/>
      <c r="E36" s="89"/>
      <c r="F36" s="90"/>
      <c r="G36" s="90"/>
      <c r="H36" s="73"/>
      <c r="I36" s="86"/>
      <c r="J36" s="84"/>
      <c r="K36" s="86"/>
      <c r="L36" s="86"/>
      <c r="M36" s="86"/>
      <c r="N36" s="91"/>
      <c r="O36" s="84"/>
      <c r="P36" s="84"/>
      <c r="Q36" s="85"/>
      <c r="R36" s="84"/>
      <c r="S36" s="86"/>
      <c r="T36" s="13"/>
    </row>
    <row r="37" spans="1:20" ht="21.75" customHeight="1" x14ac:dyDescent="0.15">
      <c r="A37" s="20" t="s">
        <v>86</v>
      </c>
      <c r="B37" s="32" t="s">
        <v>25</v>
      </c>
      <c r="C37" s="31" t="s">
        <v>26</v>
      </c>
      <c r="D37" s="65" t="s">
        <v>87</v>
      </c>
      <c r="E37" s="24" t="s">
        <v>35</v>
      </c>
      <c r="F37" s="25" t="s">
        <v>36</v>
      </c>
      <c r="G37" s="25" t="s">
        <v>30</v>
      </c>
      <c r="H37" s="20">
        <v>10</v>
      </c>
      <c r="I37" s="29">
        <v>44400</v>
      </c>
      <c r="J37" s="26">
        <v>1</v>
      </c>
      <c r="K37" s="29">
        <f>I37*J37</f>
        <v>44400</v>
      </c>
      <c r="L37" s="29">
        <f t="shared" ref="L37:L45" si="4">K37*0.09125</f>
        <v>4051.5</v>
      </c>
      <c r="M37" s="29">
        <v>400</v>
      </c>
      <c r="N37" s="30">
        <f t="shared" ref="N37:N55" si="5">K37+L37+M37</f>
        <v>48851.5</v>
      </c>
      <c r="O37" s="16"/>
      <c r="P37" s="16"/>
      <c r="Q37" s="17" t="s">
        <v>31</v>
      </c>
      <c r="R37" s="16" t="s">
        <v>31</v>
      </c>
      <c r="S37" s="18"/>
      <c r="T37" s="13"/>
    </row>
    <row r="38" spans="1:20" ht="46.5" customHeight="1" x14ac:dyDescent="0.15">
      <c r="A38" s="20" t="s">
        <v>86</v>
      </c>
      <c r="B38" s="32" t="s">
        <v>25</v>
      </c>
      <c r="C38" s="31" t="s">
        <v>26</v>
      </c>
      <c r="D38" s="65" t="s">
        <v>88</v>
      </c>
      <c r="E38" s="24" t="s">
        <v>35</v>
      </c>
      <c r="F38" s="25" t="s">
        <v>36</v>
      </c>
      <c r="G38" s="25" t="s">
        <v>30</v>
      </c>
      <c r="H38" s="20">
        <v>10</v>
      </c>
      <c r="I38" s="29">
        <v>73000</v>
      </c>
      <c r="J38" s="26">
        <v>1</v>
      </c>
      <c r="K38" s="29">
        <f t="shared" ref="K38:K56" si="6">I38*J38</f>
        <v>73000</v>
      </c>
      <c r="L38" s="29">
        <f t="shared" si="4"/>
        <v>6661.25</v>
      </c>
      <c r="M38" s="29">
        <v>400</v>
      </c>
      <c r="N38" s="30">
        <f t="shared" si="5"/>
        <v>80061.25</v>
      </c>
      <c r="O38" s="15"/>
      <c r="P38" s="15"/>
      <c r="Q38" s="17" t="s">
        <v>31</v>
      </c>
      <c r="R38" s="16" t="s">
        <v>31</v>
      </c>
      <c r="S38" s="15"/>
      <c r="T38" s="15"/>
    </row>
    <row r="39" spans="1:20" ht="46.5" customHeight="1" x14ac:dyDescent="0.15">
      <c r="A39" s="20" t="s">
        <v>86</v>
      </c>
      <c r="B39" s="32" t="s">
        <v>25</v>
      </c>
      <c r="C39" s="31" t="s">
        <v>26</v>
      </c>
      <c r="D39" s="65" t="s">
        <v>89</v>
      </c>
      <c r="E39" s="24" t="s">
        <v>35</v>
      </c>
      <c r="F39" s="25" t="s">
        <v>36</v>
      </c>
      <c r="G39" s="116" t="s">
        <v>90</v>
      </c>
      <c r="H39" s="20">
        <v>7</v>
      </c>
      <c r="I39" s="29">
        <v>3750</v>
      </c>
      <c r="J39" s="26">
        <v>1</v>
      </c>
      <c r="K39" s="29">
        <f t="shared" si="6"/>
        <v>3750</v>
      </c>
      <c r="L39" s="29">
        <f t="shared" si="4"/>
        <v>342.1875</v>
      </c>
      <c r="M39" s="29">
        <v>250</v>
      </c>
      <c r="N39" s="30">
        <f t="shared" si="5"/>
        <v>4342.1875</v>
      </c>
      <c r="O39" s="15"/>
      <c r="P39" s="15"/>
      <c r="Q39" s="17" t="s">
        <v>31</v>
      </c>
      <c r="R39" s="16" t="s">
        <v>31</v>
      </c>
      <c r="S39" s="15"/>
      <c r="T39" s="15"/>
    </row>
    <row r="40" spans="1:20" ht="46.5" customHeight="1" x14ac:dyDescent="0.15">
      <c r="A40" s="116" t="s">
        <v>86</v>
      </c>
      <c r="B40" s="116" t="s">
        <v>25</v>
      </c>
      <c r="C40" s="69" t="s">
        <v>26</v>
      </c>
      <c r="D40" s="65" t="s">
        <v>91</v>
      </c>
      <c r="E40" s="24" t="s">
        <v>35</v>
      </c>
      <c r="F40" s="24" t="s">
        <v>92</v>
      </c>
      <c r="G40" s="116" t="s">
        <v>30</v>
      </c>
      <c r="H40" s="116">
        <v>7</v>
      </c>
      <c r="I40" s="117">
        <v>6950</v>
      </c>
      <c r="J40" s="116">
        <v>1</v>
      </c>
      <c r="K40" s="29">
        <f t="shared" si="6"/>
        <v>6950</v>
      </c>
      <c r="L40" s="29">
        <f t="shared" si="4"/>
        <v>634.1875</v>
      </c>
      <c r="M40" s="118">
        <v>250</v>
      </c>
      <c r="N40" s="30">
        <f t="shared" si="5"/>
        <v>7834.1875</v>
      </c>
      <c r="O40" s="15"/>
      <c r="P40" s="15"/>
      <c r="Q40" s="17" t="s">
        <v>31</v>
      </c>
      <c r="R40" s="16" t="s">
        <v>31</v>
      </c>
      <c r="S40" s="15"/>
      <c r="T40" s="15"/>
    </row>
    <row r="41" spans="1:20" ht="46.5" customHeight="1" x14ac:dyDescent="0.15">
      <c r="A41" s="20" t="s">
        <v>86</v>
      </c>
      <c r="B41" s="32" t="s">
        <v>25</v>
      </c>
      <c r="C41" s="31" t="s">
        <v>26</v>
      </c>
      <c r="D41" s="65" t="s">
        <v>93</v>
      </c>
      <c r="E41" s="24" t="s">
        <v>35</v>
      </c>
      <c r="F41" s="25" t="s">
        <v>36</v>
      </c>
      <c r="G41" s="116" t="s">
        <v>90</v>
      </c>
      <c r="H41" s="20">
        <v>7</v>
      </c>
      <c r="I41" s="29">
        <v>4450</v>
      </c>
      <c r="J41" s="26">
        <v>1</v>
      </c>
      <c r="K41" s="29">
        <f t="shared" si="6"/>
        <v>4450</v>
      </c>
      <c r="L41" s="29">
        <f t="shared" si="4"/>
        <v>406.0625</v>
      </c>
      <c r="M41" s="29">
        <v>300</v>
      </c>
      <c r="N41" s="30">
        <f t="shared" si="5"/>
        <v>5156.0625</v>
      </c>
      <c r="O41" s="15"/>
      <c r="P41" s="15"/>
      <c r="Q41" s="17" t="s">
        <v>31</v>
      </c>
      <c r="R41" s="16" t="s">
        <v>31</v>
      </c>
      <c r="S41" s="15"/>
      <c r="T41" s="15"/>
    </row>
    <row r="42" spans="1:20" ht="46.5" customHeight="1" x14ac:dyDescent="0.15">
      <c r="A42" s="20" t="s">
        <v>86</v>
      </c>
      <c r="B42" s="32" t="s">
        <v>25</v>
      </c>
      <c r="C42" s="31" t="s">
        <v>26</v>
      </c>
      <c r="D42" s="65" t="s">
        <v>94</v>
      </c>
      <c r="E42" s="24" t="s">
        <v>35</v>
      </c>
      <c r="F42" s="25" t="s">
        <v>36</v>
      </c>
      <c r="G42" s="25" t="s">
        <v>45</v>
      </c>
      <c r="H42" s="20">
        <v>10</v>
      </c>
      <c r="I42" s="29">
        <v>40000</v>
      </c>
      <c r="J42" s="26">
        <v>1</v>
      </c>
      <c r="K42" s="29">
        <f t="shared" si="6"/>
        <v>40000</v>
      </c>
      <c r="L42" s="29">
        <f t="shared" si="4"/>
        <v>3650</v>
      </c>
      <c r="M42" s="29">
        <v>600</v>
      </c>
      <c r="N42" s="30">
        <f t="shared" si="5"/>
        <v>44250</v>
      </c>
      <c r="O42" s="15"/>
      <c r="P42" s="15"/>
      <c r="Q42" s="17" t="s">
        <v>31</v>
      </c>
      <c r="R42" s="16" t="s">
        <v>31</v>
      </c>
      <c r="S42" s="15"/>
      <c r="T42" s="15"/>
    </row>
    <row r="43" spans="1:20" ht="46.5" customHeight="1" x14ac:dyDescent="0.15">
      <c r="A43" s="20" t="s">
        <v>86</v>
      </c>
      <c r="B43" s="32" t="s">
        <v>25</v>
      </c>
      <c r="C43" s="31" t="s">
        <v>26</v>
      </c>
      <c r="D43" s="65" t="s">
        <v>95</v>
      </c>
      <c r="E43" s="24" t="s">
        <v>35</v>
      </c>
      <c r="F43" s="25" t="s">
        <v>36</v>
      </c>
      <c r="G43" s="116" t="s">
        <v>90</v>
      </c>
      <c r="H43" s="20">
        <v>10</v>
      </c>
      <c r="I43" s="29">
        <v>3850</v>
      </c>
      <c r="J43" s="26">
        <v>1</v>
      </c>
      <c r="K43" s="29">
        <f t="shared" si="6"/>
        <v>3850</v>
      </c>
      <c r="L43" s="29">
        <f t="shared" si="4"/>
        <v>351.3125</v>
      </c>
      <c r="M43" s="29">
        <v>125</v>
      </c>
      <c r="N43" s="30">
        <f t="shared" si="5"/>
        <v>4326.3125</v>
      </c>
      <c r="O43" s="15"/>
      <c r="P43" s="15"/>
      <c r="Q43" s="17" t="s">
        <v>31</v>
      </c>
      <c r="R43" s="16" t="s">
        <v>31</v>
      </c>
      <c r="S43" s="15"/>
      <c r="T43" s="15"/>
    </row>
    <row r="44" spans="1:20" ht="24" customHeight="1" x14ac:dyDescent="0.15">
      <c r="A44" s="20" t="s">
        <v>86</v>
      </c>
      <c r="B44" s="32" t="s">
        <v>25</v>
      </c>
      <c r="C44" s="31" t="s">
        <v>26</v>
      </c>
      <c r="D44" s="65" t="s">
        <v>96</v>
      </c>
      <c r="E44" s="24" t="s">
        <v>35</v>
      </c>
      <c r="F44" s="25" t="s">
        <v>36</v>
      </c>
      <c r="G44" s="25" t="s">
        <v>30</v>
      </c>
      <c r="H44" s="20">
        <v>10</v>
      </c>
      <c r="I44" s="29">
        <v>7150</v>
      </c>
      <c r="J44" s="26">
        <v>1</v>
      </c>
      <c r="K44" s="29">
        <f t="shared" si="6"/>
        <v>7150</v>
      </c>
      <c r="L44" s="29">
        <f t="shared" si="4"/>
        <v>652.4375</v>
      </c>
      <c r="M44" s="29">
        <v>200</v>
      </c>
      <c r="N44" s="30">
        <f t="shared" si="5"/>
        <v>8002.4375</v>
      </c>
      <c r="O44" s="15"/>
      <c r="P44" s="15"/>
      <c r="Q44" s="17" t="s">
        <v>31</v>
      </c>
      <c r="R44" s="16" t="s">
        <v>31</v>
      </c>
      <c r="S44" s="15"/>
      <c r="T44" s="15"/>
    </row>
    <row r="45" spans="1:20" ht="24" customHeight="1" x14ac:dyDescent="0.15">
      <c r="A45" s="20" t="s">
        <v>86</v>
      </c>
      <c r="B45" s="32" t="s">
        <v>25</v>
      </c>
      <c r="C45" s="31" t="s">
        <v>26</v>
      </c>
      <c r="D45" s="65" t="s">
        <v>97</v>
      </c>
      <c r="E45" s="24" t="s">
        <v>35</v>
      </c>
      <c r="F45" s="25" t="s">
        <v>36</v>
      </c>
      <c r="G45" s="25" t="s">
        <v>30</v>
      </c>
      <c r="H45" s="20">
        <v>15</v>
      </c>
      <c r="I45" s="29">
        <v>215000</v>
      </c>
      <c r="J45" s="26">
        <v>1</v>
      </c>
      <c r="K45" s="29">
        <f t="shared" si="6"/>
        <v>215000</v>
      </c>
      <c r="L45" s="29">
        <f t="shared" si="4"/>
        <v>19618.75</v>
      </c>
      <c r="M45" s="29">
        <v>2500</v>
      </c>
      <c r="N45" s="30">
        <f t="shared" si="5"/>
        <v>237118.75</v>
      </c>
      <c r="O45" s="16"/>
      <c r="P45" s="16"/>
      <c r="Q45" s="17" t="s">
        <v>31</v>
      </c>
      <c r="R45" s="16" t="s">
        <v>31</v>
      </c>
      <c r="S45" s="18"/>
      <c r="T45" s="13"/>
    </row>
    <row r="46" spans="1:20" ht="24" customHeight="1" x14ac:dyDescent="0.15">
      <c r="A46" s="20" t="s">
        <v>86</v>
      </c>
      <c r="B46" s="32" t="s">
        <v>25</v>
      </c>
      <c r="C46" s="31" t="s">
        <v>55</v>
      </c>
      <c r="D46" s="65" t="s">
        <v>98</v>
      </c>
      <c r="E46" s="15" t="s">
        <v>99</v>
      </c>
      <c r="F46" s="25" t="s">
        <v>36</v>
      </c>
      <c r="G46" s="25" t="s">
        <v>37</v>
      </c>
      <c r="H46" s="20">
        <v>1</v>
      </c>
      <c r="I46" s="28">
        <v>7125</v>
      </c>
      <c r="J46" s="26">
        <v>1</v>
      </c>
      <c r="K46" s="28">
        <f t="shared" si="6"/>
        <v>7125</v>
      </c>
      <c r="L46" s="29"/>
      <c r="M46" s="29"/>
      <c r="N46" s="30">
        <f t="shared" si="5"/>
        <v>7125</v>
      </c>
      <c r="O46" s="17"/>
      <c r="P46" s="16"/>
      <c r="Q46" s="16"/>
      <c r="R46" s="16"/>
      <c r="S46" s="18"/>
      <c r="T46" s="13"/>
    </row>
    <row r="47" spans="1:20" ht="24" customHeight="1" x14ac:dyDescent="0.2">
      <c r="A47" s="20" t="s">
        <v>86</v>
      </c>
      <c r="B47" s="32" t="s">
        <v>25</v>
      </c>
      <c r="C47" s="31" t="s">
        <v>33</v>
      </c>
      <c r="D47" s="13" t="s">
        <v>100</v>
      </c>
      <c r="E47" s="23" t="s">
        <v>99</v>
      </c>
      <c r="F47" s="25" t="s">
        <v>36</v>
      </c>
      <c r="G47" s="25" t="s">
        <v>101</v>
      </c>
      <c r="H47" s="20">
        <v>1</v>
      </c>
      <c r="I47" s="29">
        <v>2475</v>
      </c>
      <c r="J47" s="26">
        <v>1</v>
      </c>
      <c r="K47" s="28">
        <f t="shared" si="6"/>
        <v>2475</v>
      </c>
      <c r="L47" s="29"/>
      <c r="M47" s="29"/>
      <c r="N47" s="30">
        <f t="shared" si="5"/>
        <v>2475</v>
      </c>
      <c r="O47" s="17"/>
      <c r="P47" s="16"/>
      <c r="Q47" s="16"/>
      <c r="R47" s="16"/>
      <c r="S47" s="18"/>
      <c r="T47" s="13"/>
    </row>
    <row r="48" spans="1:20" ht="24" customHeight="1" x14ac:dyDescent="0.2">
      <c r="A48" s="20" t="s">
        <v>86</v>
      </c>
      <c r="B48" s="32" t="s">
        <v>25</v>
      </c>
      <c r="C48" s="31" t="s">
        <v>33</v>
      </c>
      <c r="D48" s="13" t="s">
        <v>102</v>
      </c>
      <c r="E48" s="23" t="s">
        <v>99</v>
      </c>
      <c r="F48" s="25" t="s">
        <v>36</v>
      </c>
      <c r="G48" s="25" t="s">
        <v>101</v>
      </c>
      <c r="H48" s="20">
        <v>1</v>
      </c>
      <c r="I48" s="29">
        <v>5500</v>
      </c>
      <c r="J48" s="26">
        <v>1</v>
      </c>
      <c r="K48" s="28">
        <f t="shared" si="6"/>
        <v>5500</v>
      </c>
      <c r="L48" s="29"/>
      <c r="M48" s="29"/>
      <c r="N48" s="30">
        <f t="shared" si="5"/>
        <v>5500</v>
      </c>
      <c r="O48" s="17"/>
      <c r="P48" s="16"/>
      <c r="Q48" s="16"/>
      <c r="R48" s="16"/>
      <c r="S48" s="18"/>
      <c r="T48" s="13"/>
    </row>
    <row r="49" spans="1:20" ht="24" customHeight="1" x14ac:dyDescent="0.2">
      <c r="A49" s="20" t="s">
        <v>86</v>
      </c>
      <c r="B49" s="32" t="s">
        <v>25</v>
      </c>
      <c r="C49" s="31" t="s">
        <v>33</v>
      </c>
      <c r="D49" s="13" t="s">
        <v>103</v>
      </c>
      <c r="E49" s="23" t="s">
        <v>99</v>
      </c>
      <c r="F49" s="25" t="s">
        <v>36</v>
      </c>
      <c r="G49" s="25" t="s">
        <v>101</v>
      </c>
      <c r="H49" s="20">
        <v>1</v>
      </c>
      <c r="I49" s="28">
        <v>1050</v>
      </c>
      <c r="J49" s="26">
        <v>1</v>
      </c>
      <c r="K49" s="28">
        <f t="shared" si="6"/>
        <v>1050</v>
      </c>
      <c r="L49" s="28">
        <v>0</v>
      </c>
      <c r="M49" s="28"/>
      <c r="N49" s="30">
        <f t="shared" si="5"/>
        <v>1050</v>
      </c>
      <c r="O49" s="17"/>
      <c r="P49" s="16"/>
      <c r="Q49" s="16"/>
      <c r="R49" s="16"/>
      <c r="S49" s="18"/>
      <c r="T49" s="13"/>
    </row>
    <row r="50" spans="1:20" ht="24" customHeight="1" x14ac:dyDescent="0.2">
      <c r="A50" s="20" t="s">
        <v>86</v>
      </c>
      <c r="B50" s="32" t="s">
        <v>25</v>
      </c>
      <c r="C50" s="31" t="s">
        <v>33</v>
      </c>
      <c r="D50" s="13" t="s">
        <v>104</v>
      </c>
      <c r="E50" s="23" t="s">
        <v>99</v>
      </c>
      <c r="F50" s="25" t="s">
        <v>36</v>
      </c>
      <c r="G50" s="25" t="s">
        <v>101</v>
      </c>
      <c r="H50" s="20">
        <v>1</v>
      </c>
      <c r="I50" s="29">
        <v>3150</v>
      </c>
      <c r="J50" s="26">
        <v>1</v>
      </c>
      <c r="K50" s="28">
        <f t="shared" si="6"/>
        <v>3150</v>
      </c>
      <c r="L50" s="29">
        <v>0</v>
      </c>
      <c r="M50" s="29"/>
      <c r="N50" s="30">
        <f t="shared" si="5"/>
        <v>3150</v>
      </c>
      <c r="O50" s="17"/>
      <c r="P50" s="16"/>
      <c r="Q50" s="16"/>
      <c r="R50" s="16"/>
      <c r="S50" s="18"/>
      <c r="T50" s="13"/>
    </row>
    <row r="51" spans="1:20" ht="24" customHeight="1" x14ac:dyDescent="0.2">
      <c r="A51" s="20" t="s">
        <v>86</v>
      </c>
      <c r="B51" s="32" t="s">
        <v>25</v>
      </c>
      <c r="C51" s="31" t="s">
        <v>33</v>
      </c>
      <c r="D51" s="13" t="s">
        <v>105</v>
      </c>
      <c r="E51" s="23" t="s">
        <v>99</v>
      </c>
      <c r="F51" s="25" t="s">
        <v>36</v>
      </c>
      <c r="G51" s="25" t="s">
        <v>101</v>
      </c>
      <c r="H51" s="20">
        <v>1</v>
      </c>
      <c r="I51" s="28">
        <v>3750</v>
      </c>
      <c r="J51" s="26">
        <v>1</v>
      </c>
      <c r="K51" s="28">
        <f t="shared" si="6"/>
        <v>3750</v>
      </c>
      <c r="L51" s="28">
        <v>0</v>
      </c>
      <c r="M51" s="28"/>
      <c r="N51" s="30">
        <f t="shared" si="5"/>
        <v>3750</v>
      </c>
      <c r="O51" s="17"/>
      <c r="P51" s="16"/>
      <c r="Q51" s="16"/>
      <c r="R51" s="16"/>
      <c r="S51" s="18"/>
      <c r="T51" s="13"/>
    </row>
    <row r="52" spans="1:20" ht="24" customHeight="1" x14ac:dyDescent="0.2">
      <c r="A52" s="20" t="s">
        <v>86</v>
      </c>
      <c r="B52" s="32" t="s">
        <v>25</v>
      </c>
      <c r="C52" s="31" t="s">
        <v>33</v>
      </c>
      <c r="D52" s="13" t="s">
        <v>106</v>
      </c>
      <c r="E52" s="23" t="s">
        <v>107</v>
      </c>
      <c r="F52" s="25" t="s">
        <v>36</v>
      </c>
      <c r="G52" s="25" t="s">
        <v>37</v>
      </c>
      <c r="H52" s="20">
        <v>5</v>
      </c>
      <c r="I52" s="28">
        <v>7</v>
      </c>
      <c r="J52" s="26">
        <v>100</v>
      </c>
      <c r="K52" s="28">
        <f t="shared" si="6"/>
        <v>700</v>
      </c>
      <c r="L52" s="28">
        <v>0</v>
      </c>
      <c r="M52" s="28">
        <v>0</v>
      </c>
      <c r="N52" s="30">
        <f t="shared" si="5"/>
        <v>700</v>
      </c>
      <c r="O52" s="17"/>
      <c r="P52" s="16"/>
      <c r="Q52" s="16"/>
      <c r="R52" s="16"/>
      <c r="S52" s="18"/>
      <c r="T52" s="13" t="s">
        <v>32</v>
      </c>
    </row>
    <row r="53" spans="1:20" ht="24" customHeight="1" x14ac:dyDescent="0.2">
      <c r="A53" s="20" t="s">
        <v>86</v>
      </c>
      <c r="B53" s="119" t="s">
        <v>25</v>
      </c>
      <c r="C53" s="120" t="s">
        <v>108</v>
      </c>
      <c r="D53" s="45" t="s">
        <v>109</v>
      </c>
      <c r="E53" s="46" t="s">
        <v>110</v>
      </c>
      <c r="F53" s="121" t="s">
        <v>36</v>
      </c>
      <c r="G53" s="121" t="s">
        <v>101</v>
      </c>
      <c r="H53" s="119" t="s">
        <v>111</v>
      </c>
      <c r="I53" s="122">
        <f>75000*1.35</f>
        <v>101250</v>
      </c>
      <c r="J53" s="121">
        <v>3</v>
      </c>
      <c r="K53" s="122">
        <f t="shared" si="6"/>
        <v>303750</v>
      </c>
      <c r="L53" s="28">
        <v>0</v>
      </c>
      <c r="M53" s="28"/>
      <c r="N53" s="30">
        <f t="shared" si="5"/>
        <v>303750</v>
      </c>
      <c r="O53" s="17"/>
      <c r="P53" s="16"/>
      <c r="Q53" s="16"/>
      <c r="R53" s="16"/>
      <c r="S53" s="18"/>
      <c r="T53" s="13"/>
    </row>
    <row r="54" spans="1:20" ht="24" customHeight="1" x14ac:dyDescent="0.2">
      <c r="A54" s="20" t="s">
        <v>86</v>
      </c>
      <c r="B54" s="32" t="s">
        <v>25</v>
      </c>
      <c r="C54" s="31" t="s">
        <v>108</v>
      </c>
      <c r="D54" s="13" t="s">
        <v>112</v>
      </c>
      <c r="E54" s="23" t="s">
        <v>110</v>
      </c>
      <c r="F54" s="25" t="s">
        <v>36</v>
      </c>
      <c r="G54" s="25" t="s">
        <v>30</v>
      </c>
      <c r="H54" s="20">
        <v>1</v>
      </c>
      <c r="I54" s="29">
        <v>10000</v>
      </c>
      <c r="J54" s="26">
        <v>1</v>
      </c>
      <c r="K54" s="29">
        <f t="shared" si="6"/>
        <v>10000</v>
      </c>
      <c r="L54" s="29"/>
      <c r="M54" s="29"/>
      <c r="N54" s="30">
        <f t="shared" si="5"/>
        <v>10000</v>
      </c>
      <c r="O54" s="16"/>
      <c r="P54" s="16"/>
      <c r="Q54" s="17" t="s">
        <v>31</v>
      </c>
      <c r="R54" s="16" t="s">
        <v>31</v>
      </c>
      <c r="S54" s="18"/>
      <c r="T54" s="13"/>
    </row>
    <row r="55" spans="1:20" ht="24" customHeight="1" x14ac:dyDescent="0.2">
      <c r="A55" s="20" t="s">
        <v>86</v>
      </c>
      <c r="B55" s="32" t="s">
        <v>25</v>
      </c>
      <c r="C55" s="31" t="s">
        <v>108</v>
      </c>
      <c r="D55" s="13" t="s">
        <v>113</v>
      </c>
      <c r="E55" s="23" t="s">
        <v>114</v>
      </c>
      <c r="F55" s="25" t="s">
        <v>36</v>
      </c>
      <c r="G55" s="26" t="s">
        <v>30</v>
      </c>
      <c r="H55" s="20">
        <v>1</v>
      </c>
      <c r="I55" s="27">
        <v>5000</v>
      </c>
      <c r="J55" s="26">
        <v>1</v>
      </c>
      <c r="K55" s="29">
        <f t="shared" si="6"/>
        <v>5000</v>
      </c>
      <c r="L55" s="29"/>
      <c r="M55" s="29"/>
      <c r="N55" s="30">
        <f t="shared" si="5"/>
        <v>5000</v>
      </c>
      <c r="O55" s="16"/>
      <c r="P55" s="16"/>
      <c r="Q55" s="17" t="s">
        <v>31</v>
      </c>
      <c r="R55" s="16" t="s">
        <v>31</v>
      </c>
      <c r="S55" s="18"/>
      <c r="T55" s="13"/>
    </row>
    <row r="56" spans="1:20" ht="24" customHeight="1" x14ac:dyDescent="0.2">
      <c r="A56" s="20" t="s">
        <v>86</v>
      </c>
      <c r="B56" s="32" t="s">
        <v>25</v>
      </c>
      <c r="C56" s="31" t="s">
        <v>108</v>
      </c>
      <c r="D56" s="13" t="s">
        <v>115</v>
      </c>
      <c r="E56" s="23" t="s">
        <v>116</v>
      </c>
      <c r="F56" s="25" t="s">
        <v>36</v>
      </c>
      <c r="G56" s="26" t="s">
        <v>30</v>
      </c>
      <c r="H56" s="20">
        <v>1</v>
      </c>
      <c r="I56" s="27">
        <v>5900</v>
      </c>
      <c r="J56" s="26">
        <v>1</v>
      </c>
      <c r="K56" s="29">
        <f t="shared" si="6"/>
        <v>5900</v>
      </c>
      <c r="L56" s="29"/>
      <c r="M56" s="29"/>
      <c r="N56" s="30">
        <f>K56+L56+M56</f>
        <v>5900</v>
      </c>
      <c r="O56" s="16"/>
      <c r="P56" s="16"/>
      <c r="Q56" s="17" t="s">
        <v>31</v>
      </c>
      <c r="R56" s="16" t="s">
        <v>31</v>
      </c>
      <c r="S56" s="18"/>
      <c r="T56" s="13"/>
    </row>
    <row r="57" spans="1:20" ht="24" customHeight="1" x14ac:dyDescent="0.2">
      <c r="A57" s="73"/>
      <c r="B57" s="74"/>
      <c r="C57" s="75"/>
      <c r="D57" s="76"/>
      <c r="E57" s="77"/>
      <c r="F57" s="78"/>
      <c r="G57" s="79"/>
      <c r="H57" s="80"/>
      <c r="I57" s="81"/>
      <c r="J57" s="79"/>
      <c r="K57" s="82"/>
      <c r="L57" s="82"/>
      <c r="M57" s="82"/>
      <c r="N57" s="83"/>
      <c r="O57" s="84"/>
      <c r="P57" s="84"/>
      <c r="Q57" s="85"/>
      <c r="R57" s="84"/>
      <c r="S57" s="86"/>
      <c r="T57" s="13"/>
    </row>
    <row r="58" spans="1:20" s="112" customFormat="1" ht="31.75" customHeight="1" x14ac:dyDescent="0.2">
      <c r="A58" s="109"/>
      <c r="B58" s="110"/>
      <c r="C58" s="111"/>
      <c r="F58" s="113"/>
      <c r="G58" s="113"/>
      <c r="H58" s="113"/>
      <c r="O58" s="109"/>
      <c r="P58" s="109"/>
      <c r="Q58" s="109"/>
      <c r="R58" s="109"/>
      <c r="S58" s="114"/>
      <c r="T58" s="115"/>
    </row>
    <row r="59" spans="1:20" ht="31.75" customHeight="1" x14ac:dyDescent="0.2">
      <c r="A59" s="20" t="s">
        <v>117</v>
      </c>
      <c r="B59" s="35" t="s">
        <v>118</v>
      </c>
      <c r="C59" s="31" t="s">
        <v>26</v>
      </c>
      <c r="D59" s="13" t="s">
        <v>119</v>
      </c>
      <c r="E59" s="24" t="s">
        <v>120</v>
      </c>
      <c r="F59" s="26" t="s">
        <v>121</v>
      </c>
      <c r="G59" s="26" t="s">
        <v>121</v>
      </c>
      <c r="H59" s="26" t="s">
        <v>121</v>
      </c>
      <c r="I59" s="29">
        <v>3628</v>
      </c>
      <c r="J59" s="26">
        <v>4</v>
      </c>
      <c r="K59" s="33">
        <f>I59*J59</f>
        <v>14512</v>
      </c>
      <c r="L59" s="33">
        <f>K59*0.09125</f>
        <v>1324.22</v>
      </c>
      <c r="M59" s="33">
        <v>0</v>
      </c>
      <c r="N59" s="30">
        <f t="shared" ref="N59:N64" si="7">K59+L59+M59</f>
        <v>15836.22</v>
      </c>
      <c r="O59" s="36"/>
      <c r="P59" s="36"/>
      <c r="Q59" s="17" t="s">
        <v>31</v>
      </c>
      <c r="R59" s="16" t="s">
        <v>31</v>
      </c>
      <c r="S59" s="18"/>
      <c r="T59" s="13"/>
    </row>
    <row r="60" spans="1:20" ht="31.75" customHeight="1" x14ac:dyDescent="0.2">
      <c r="A60" s="20" t="s">
        <v>117</v>
      </c>
      <c r="B60" s="35" t="s">
        <v>118</v>
      </c>
      <c r="C60" s="31" t="s">
        <v>26</v>
      </c>
      <c r="D60" s="13" t="s">
        <v>122</v>
      </c>
      <c r="E60" s="24" t="s">
        <v>123</v>
      </c>
      <c r="F60" s="26" t="s">
        <v>36</v>
      </c>
      <c r="G60" s="26" t="s">
        <v>124</v>
      </c>
      <c r="H60" s="26" t="s">
        <v>125</v>
      </c>
      <c r="I60" s="29">
        <v>1049</v>
      </c>
      <c r="J60" s="26">
        <v>5</v>
      </c>
      <c r="K60" s="33">
        <f>I60*J60</f>
        <v>5245</v>
      </c>
      <c r="L60" s="33">
        <f t="shared" ref="L60:L64" si="8">K60*0.09125</f>
        <v>478.60624999999999</v>
      </c>
      <c r="M60" s="33">
        <v>0</v>
      </c>
      <c r="N60" s="30">
        <f>K60+L60+M60</f>
        <v>5723.6062499999998</v>
      </c>
      <c r="O60" s="36"/>
      <c r="P60" s="36"/>
      <c r="Q60" s="17" t="s">
        <v>31</v>
      </c>
      <c r="R60" s="16" t="s">
        <v>31</v>
      </c>
      <c r="S60" s="18"/>
      <c r="T60" s="13"/>
    </row>
    <row r="61" spans="1:20" ht="31.75" customHeight="1" x14ac:dyDescent="0.2">
      <c r="A61" s="20" t="s">
        <v>117</v>
      </c>
      <c r="B61" s="35" t="s">
        <v>118</v>
      </c>
      <c r="C61" s="31" t="s">
        <v>26</v>
      </c>
      <c r="D61" s="13" t="s">
        <v>126</v>
      </c>
      <c r="E61" s="24" t="s">
        <v>123</v>
      </c>
      <c r="F61" s="26" t="s">
        <v>36</v>
      </c>
      <c r="G61" s="26" t="s">
        <v>124</v>
      </c>
      <c r="H61" s="26" t="s">
        <v>125</v>
      </c>
      <c r="I61" s="29">
        <v>2748</v>
      </c>
      <c r="J61" s="26">
        <v>1</v>
      </c>
      <c r="K61" s="33">
        <f>I61*J61</f>
        <v>2748</v>
      </c>
      <c r="L61" s="33">
        <f t="shared" si="8"/>
        <v>250.755</v>
      </c>
      <c r="M61" s="33">
        <v>0</v>
      </c>
      <c r="N61" s="30">
        <f>K61+L61+M61</f>
        <v>2998.7550000000001</v>
      </c>
      <c r="O61" s="36"/>
      <c r="P61" s="36"/>
      <c r="Q61" s="17" t="s">
        <v>31</v>
      </c>
      <c r="R61" s="16" t="s">
        <v>31</v>
      </c>
      <c r="S61" s="18"/>
      <c r="T61" s="13"/>
    </row>
    <row r="62" spans="1:20" ht="69.5" customHeight="1" x14ac:dyDescent="0.2">
      <c r="A62" s="20" t="s">
        <v>117</v>
      </c>
      <c r="B62" s="37" t="s">
        <v>79</v>
      </c>
      <c r="C62" s="31" t="s">
        <v>26</v>
      </c>
      <c r="D62" s="13" t="s">
        <v>127</v>
      </c>
      <c r="E62" s="24" t="s">
        <v>128</v>
      </c>
      <c r="F62" s="26" t="s">
        <v>121</v>
      </c>
      <c r="G62" s="26" t="s">
        <v>121</v>
      </c>
      <c r="H62" s="26" t="s">
        <v>121</v>
      </c>
      <c r="I62" s="29">
        <v>3999</v>
      </c>
      <c r="J62" s="26">
        <v>8</v>
      </c>
      <c r="K62" s="33">
        <f t="shared" ref="K62:K64" si="9">I62*J62</f>
        <v>31992</v>
      </c>
      <c r="L62" s="33">
        <f t="shared" si="8"/>
        <v>2919.27</v>
      </c>
      <c r="M62" s="33">
        <v>0</v>
      </c>
      <c r="N62" s="30">
        <f t="shared" si="7"/>
        <v>34911.269999999997</v>
      </c>
      <c r="O62" s="16"/>
      <c r="P62" s="16"/>
      <c r="Q62" s="16"/>
      <c r="R62" s="16"/>
      <c r="S62" s="18"/>
      <c r="T62" s="13"/>
    </row>
    <row r="63" spans="1:20" ht="31.75" customHeight="1" x14ac:dyDescent="0.2">
      <c r="A63" s="20" t="s">
        <v>117</v>
      </c>
      <c r="B63" s="21" t="s">
        <v>48</v>
      </c>
      <c r="C63" s="31" t="s">
        <v>26</v>
      </c>
      <c r="D63" s="13" t="s">
        <v>129</v>
      </c>
      <c r="E63" s="24" t="s">
        <v>130</v>
      </c>
      <c r="F63" s="26" t="s">
        <v>36</v>
      </c>
      <c r="G63" s="26" t="s">
        <v>30</v>
      </c>
      <c r="H63" s="26">
        <v>10</v>
      </c>
      <c r="I63" s="29">
        <v>100</v>
      </c>
      <c r="J63" s="20">
        <v>5</v>
      </c>
      <c r="K63" s="33">
        <f t="shared" si="9"/>
        <v>500</v>
      </c>
      <c r="L63" s="33">
        <f t="shared" si="8"/>
        <v>45.625</v>
      </c>
      <c r="M63" s="29">
        <v>20</v>
      </c>
      <c r="N63" s="30">
        <f t="shared" si="7"/>
        <v>565.625</v>
      </c>
      <c r="O63" s="16"/>
      <c r="P63" s="16"/>
      <c r="Q63" s="16"/>
      <c r="R63" s="16"/>
      <c r="S63" s="19"/>
      <c r="T63" s="13"/>
    </row>
    <row r="64" spans="1:20" ht="60" customHeight="1" x14ac:dyDescent="0.2">
      <c r="A64" s="20" t="s">
        <v>117</v>
      </c>
      <c r="B64" s="35" t="s">
        <v>131</v>
      </c>
      <c r="C64" s="31" t="s">
        <v>26</v>
      </c>
      <c r="D64" s="13" t="s">
        <v>132</v>
      </c>
      <c r="E64" s="24" t="s">
        <v>133</v>
      </c>
      <c r="F64" s="26" t="s">
        <v>36</v>
      </c>
      <c r="G64" s="26" t="s">
        <v>30</v>
      </c>
      <c r="H64" s="20">
        <v>5</v>
      </c>
      <c r="I64" s="29">
        <v>100</v>
      </c>
      <c r="J64" s="26">
        <v>3</v>
      </c>
      <c r="K64" s="33">
        <f t="shared" si="9"/>
        <v>300</v>
      </c>
      <c r="L64" s="33">
        <f t="shared" si="8"/>
        <v>27.375</v>
      </c>
      <c r="M64" s="38">
        <v>0</v>
      </c>
      <c r="N64" s="30">
        <f t="shared" si="7"/>
        <v>327.375</v>
      </c>
      <c r="O64" s="34"/>
      <c r="P64" s="36"/>
      <c r="Q64" s="17" t="s">
        <v>31</v>
      </c>
      <c r="R64" s="16" t="s">
        <v>31</v>
      </c>
      <c r="S64" s="18"/>
      <c r="T64" s="13"/>
    </row>
    <row r="65" spans="1:20" ht="31.75" customHeight="1" x14ac:dyDescent="0.2">
      <c r="A65" s="20" t="s">
        <v>117</v>
      </c>
      <c r="B65" s="35" t="s">
        <v>131</v>
      </c>
      <c r="C65" s="31" t="s">
        <v>33</v>
      </c>
      <c r="D65" s="13" t="s">
        <v>134</v>
      </c>
      <c r="E65" s="24" t="s">
        <v>135</v>
      </c>
      <c r="F65" s="26" t="s">
        <v>36</v>
      </c>
      <c r="G65" s="26" t="s">
        <v>37</v>
      </c>
      <c r="H65" s="26" t="s">
        <v>136</v>
      </c>
      <c r="I65" s="29">
        <v>26000</v>
      </c>
      <c r="J65" s="20">
        <v>1</v>
      </c>
      <c r="K65" s="29">
        <v>26000</v>
      </c>
      <c r="L65" s="29" t="s">
        <v>121</v>
      </c>
      <c r="M65" s="29" t="s">
        <v>121</v>
      </c>
      <c r="N65" s="123">
        <v>26000</v>
      </c>
      <c r="O65" s="34"/>
      <c r="P65" s="36"/>
      <c r="Q65" s="36"/>
      <c r="R65" s="36"/>
      <c r="S65" s="18"/>
      <c r="T65" s="13"/>
    </row>
    <row r="66" spans="1:20" ht="31.75" customHeight="1" x14ac:dyDescent="0.2">
      <c r="A66" s="20" t="s">
        <v>117</v>
      </c>
      <c r="B66" s="35" t="s">
        <v>131</v>
      </c>
      <c r="C66" s="31" t="s">
        <v>33</v>
      </c>
      <c r="D66" s="13" t="s">
        <v>137</v>
      </c>
      <c r="E66" s="24" t="s">
        <v>138</v>
      </c>
      <c r="F66" s="26" t="s">
        <v>36</v>
      </c>
      <c r="G66" s="26" t="s">
        <v>30</v>
      </c>
      <c r="H66" s="26">
        <v>1</v>
      </c>
      <c r="I66" s="28">
        <v>19.989999999999998</v>
      </c>
      <c r="J66" s="20">
        <v>2100</v>
      </c>
      <c r="K66" s="28">
        <v>41979</v>
      </c>
      <c r="L66" s="28" t="s">
        <v>139</v>
      </c>
      <c r="M66" s="28" t="s">
        <v>140</v>
      </c>
      <c r="N66" s="124">
        <v>50000</v>
      </c>
      <c r="O66" s="34"/>
      <c r="P66" s="36"/>
      <c r="Q66" s="36"/>
      <c r="R66" s="36"/>
      <c r="S66" s="18"/>
      <c r="T66" s="13"/>
    </row>
    <row r="67" spans="1:20" ht="31.75" customHeight="1" x14ac:dyDescent="0.2">
      <c r="A67" s="20" t="s">
        <v>117</v>
      </c>
      <c r="B67" s="35" t="s">
        <v>131</v>
      </c>
      <c r="C67" s="31" t="s">
        <v>33</v>
      </c>
      <c r="D67" s="13" t="s">
        <v>141</v>
      </c>
      <c r="E67" s="24" t="s">
        <v>142</v>
      </c>
      <c r="F67" s="26" t="s">
        <v>36</v>
      </c>
      <c r="G67" s="26" t="s">
        <v>30</v>
      </c>
      <c r="H67" s="26">
        <v>1</v>
      </c>
      <c r="I67" s="29">
        <v>20</v>
      </c>
      <c r="J67" s="26">
        <v>20</v>
      </c>
      <c r="K67" s="33">
        <f t="shared" ref="K67:K73" si="10">I67*J67</f>
        <v>400</v>
      </c>
      <c r="L67" s="33">
        <v>0</v>
      </c>
      <c r="M67" s="33">
        <v>0</v>
      </c>
      <c r="N67" s="30">
        <f>K67+L67+M67</f>
        <v>400</v>
      </c>
      <c r="O67" s="34"/>
      <c r="P67" s="16"/>
      <c r="Q67" s="16"/>
      <c r="R67" s="16"/>
      <c r="S67" s="19"/>
      <c r="T67" s="13"/>
    </row>
    <row r="68" spans="1:20" ht="31.75" customHeight="1" x14ac:dyDescent="0.2">
      <c r="A68" s="20" t="s">
        <v>117</v>
      </c>
      <c r="B68" s="35" t="s">
        <v>131</v>
      </c>
      <c r="C68" s="31" t="s">
        <v>55</v>
      </c>
      <c r="D68" s="13" t="s">
        <v>143</v>
      </c>
      <c r="E68" s="24" t="s">
        <v>107</v>
      </c>
      <c r="F68" s="26" t="s">
        <v>36</v>
      </c>
      <c r="G68" s="26" t="s">
        <v>37</v>
      </c>
      <c r="H68" s="26">
        <v>5</v>
      </c>
      <c r="I68" s="29">
        <v>15</v>
      </c>
      <c r="J68" s="26">
        <v>200</v>
      </c>
      <c r="K68" s="33">
        <f t="shared" si="10"/>
        <v>3000</v>
      </c>
      <c r="L68" s="33">
        <v>0</v>
      </c>
      <c r="M68" s="33">
        <v>0</v>
      </c>
      <c r="N68" s="30">
        <f>K68+L68+M68</f>
        <v>3000</v>
      </c>
      <c r="O68" s="34"/>
      <c r="P68" s="16"/>
      <c r="Q68" s="16"/>
      <c r="R68" s="16"/>
      <c r="S68" s="18"/>
      <c r="T68" s="13"/>
    </row>
    <row r="69" spans="1:20" ht="31.75" customHeight="1" x14ac:dyDescent="0.2">
      <c r="A69" s="20" t="s">
        <v>117</v>
      </c>
      <c r="B69" s="35" t="s">
        <v>131</v>
      </c>
      <c r="C69" s="31" t="s">
        <v>55</v>
      </c>
      <c r="D69" s="13" t="s">
        <v>144</v>
      </c>
      <c r="E69" s="24" t="s">
        <v>145</v>
      </c>
      <c r="F69" s="26" t="s">
        <v>36</v>
      </c>
      <c r="G69" s="26" t="s">
        <v>30</v>
      </c>
      <c r="H69" s="26">
        <v>5</v>
      </c>
      <c r="I69" s="29">
        <v>169</v>
      </c>
      <c r="J69" s="26">
        <v>10</v>
      </c>
      <c r="K69" s="33">
        <f t="shared" si="10"/>
        <v>1690</v>
      </c>
      <c r="L69" s="33">
        <v>0</v>
      </c>
      <c r="M69" s="33">
        <v>0</v>
      </c>
      <c r="N69" s="30">
        <f>K69+L69+M69</f>
        <v>1690</v>
      </c>
      <c r="O69" s="34"/>
      <c r="P69" s="16"/>
      <c r="Q69" s="36"/>
      <c r="R69" s="36"/>
      <c r="S69" s="18"/>
      <c r="T69" s="13"/>
    </row>
    <row r="70" spans="1:20" ht="51.75" customHeight="1" x14ac:dyDescent="0.2">
      <c r="A70" s="20" t="s">
        <v>117</v>
      </c>
      <c r="B70" s="13" t="s">
        <v>131</v>
      </c>
      <c r="C70" s="31" t="s">
        <v>146</v>
      </c>
      <c r="D70" s="13" t="s">
        <v>147</v>
      </c>
      <c r="E70" s="24" t="s">
        <v>148</v>
      </c>
      <c r="F70" s="26" t="s">
        <v>36</v>
      </c>
      <c r="G70" s="26" t="s">
        <v>121</v>
      </c>
      <c r="H70" s="26" t="s">
        <v>121</v>
      </c>
      <c r="I70" s="29">
        <v>600</v>
      </c>
      <c r="J70" s="26">
        <v>1</v>
      </c>
      <c r="K70" s="33">
        <f t="shared" si="10"/>
        <v>600</v>
      </c>
      <c r="L70" s="33">
        <v>0</v>
      </c>
      <c r="M70" s="33">
        <v>0</v>
      </c>
      <c r="N70" s="30">
        <f>K70+L70+M70</f>
        <v>600</v>
      </c>
      <c r="O70" s="36"/>
      <c r="P70" s="16"/>
      <c r="Q70" s="34"/>
      <c r="R70" s="36"/>
      <c r="S70" s="18"/>
      <c r="T70" s="37"/>
    </row>
    <row r="71" spans="1:20" s="44" customFormat="1" ht="51" customHeight="1" x14ac:dyDescent="0.2">
      <c r="A71" s="20" t="s">
        <v>117</v>
      </c>
      <c r="B71" s="13" t="s">
        <v>131</v>
      </c>
      <c r="C71" s="22" t="s">
        <v>108</v>
      </c>
      <c r="D71" s="24" t="s">
        <v>149</v>
      </c>
      <c r="E71" s="24" t="s">
        <v>150</v>
      </c>
      <c r="F71" s="26" t="s">
        <v>36</v>
      </c>
      <c r="G71" s="26" t="s">
        <v>37</v>
      </c>
      <c r="H71" s="26" t="s">
        <v>121</v>
      </c>
      <c r="I71" s="28">
        <v>2400</v>
      </c>
      <c r="J71" s="20">
        <v>9</v>
      </c>
      <c r="K71" s="28">
        <f t="shared" si="10"/>
        <v>21600</v>
      </c>
      <c r="L71" s="28" t="s">
        <v>121</v>
      </c>
      <c r="M71" s="28" t="s">
        <v>121</v>
      </c>
      <c r="N71" s="38">
        <v>21600</v>
      </c>
      <c r="O71" s="36"/>
      <c r="P71" s="16"/>
      <c r="Q71" s="34"/>
      <c r="R71" s="36"/>
      <c r="S71" s="18"/>
      <c r="T71" s="37"/>
    </row>
    <row r="72" spans="1:20" ht="31.75" customHeight="1" x14ac:dyDescent="0.2">
      <c r="A72" s="20" t="s">
        <v>117</v>
      </c>
      <c r="B72" s="13" t="s">
        <v>131</v>
      </c>
      <c r="C72" s="22" t="s">
        <v>108</v>
      </c>
      <c r="D72" s="13" t="s">
        <v>151</v>
      </c>
      <c r="E72" s="24" t="s">
        <v>152</v>
      </c>
      <c r="F72" s="26" t="s">
        <v>121</v>
      </c>
      <c r="G72" s="26" t="s">
        <v>121</v>
      </c>
      <c r="H72" s="26" t="s">
        <v>121</v>
      </c>
      <c r="I72" s="28">
        <v>2500</v>
      </c>
      <c r="J72" s="20">
        <v>3</v>
      </c>
      <c r="K72" s="39">
        <f t="shared" si="10"/>
        <v>7500</v>
      </c>
      <c r="L72" s="39">
        <v>0</v>
      </c>
      <c r="M72" s="39">
        <v>0</v>
      </c>
      <c r="N72" s="30">
        <f>K72+L72+M72</f>
        <v>7500</v>
      </c>
      <c r="O72" s="36"/>
      <c r="P72" s="16"/>
      <c r="Q72" s="34"/>
      <c r="R72" s="36"/>
      <c r="S72" s="18"/>
      <c r="T72" s="37"/>
    </row>
    <row r="73" spans="1:20" ht="56.25" customHeight="1" x14ac:dyDescent="0.2">
      <c r="A73" s="40" t="s">
        <v>117</v>
      </c>
      <c r="B73" s="41" t="s">
        <v>25</v>
      </c>
      <c r="C73" s="22" t="s">
        <v>108</v>
      </c>
      <c r="D73" s="21" t="s">
        <v>153</v>
      </c>
      <c r="E73" s="24" t="s">
        <v>154</v>
      </c>
      <c r="F73" s="26" t="s">
        <v>36</v>
      </c>
      <c r="G73" s="26" t="s">
        <v>121</v>
      </c>
      <c r="H73" s="26" t="s">
        <v>121</v>
      </c>
      <c r="I73" s="29">
        <v>150</v>
      </c>
      <c r="J73" s="26">
        <v>3</v>
      </c>
      <c r="K73" s="33">
        <f t="shared" si="10"/>
        <v>450</v>
      </c>
      <c r="L73" s="33">
        <v>0</v>
      </c>
      <c r="M73" s="33">
        <v>0</v>
      </c>
      <c r="N73" s="30">
        <f>K73+L73+M73</f>
        <v>450</v>
      </c>
      <c r="O73" s="36"/>
      <c r="P73" s="16"/>
      <c r="Q73" s="34"/>
      <c r="R73" s="36" t="s">
        <v>31</v>
      </c>
      <c r="S73" s="18"/>
      <c r="T73" s="37"/>
    </row>
    <row r="74" spans="1:20" ht="31.75" customHeight="1" x14ac:dyDescent="0.2">
      <c r="A74" s="20" t="s">
        <v>117</v>
      </c>
      <c r="B74" s="35" t="s">
        <v>25</v>
      </c>
      <c r="C74" s="22" t="s">
        <v>108</v>
      </c>
      <c r="D74" s="23" t="s">
        <v>155</v>
      </c>
      <c r="E74" s="23" t="s">
        <v>156</v>
      </c>
      <c r="F74" s="40" t="s">
        <v>157</v>
      </c>
      <c r="G74" s="42" t="s">
        <v>158</v>
      </c>
      <c r="H74" s="27">
        <v>3000</v>
      </c>
      <c r="I74" s="40">
        <v>1</v>
      </c>
      <c r="J74" s="43"/>
      <c r="K74" s="33">
        <f>H74*I74</f>
        <v>3000</v>
      </c>
      <c r="L74" s="33">
        <v>0</v>
      </c>
      <c r="M74" s="33">
        <v>0</v>
      </c>
      <c r="N74" s="30">
        <f>K74+L74+J74</f>
        <v>3000</v>
      </c>
      <c r="O74" s="36"/>
      <c r="P74" s="36"/>
      <c r="Q74" s="34" t="s">
        <v>31</v>
      </c>
      <c r="R74" s="36"/>
      <c r="S74" s="18"/>
      <c r="T74" s="38"/>
    </row>
    <row r="75" spans="1:20" ht="31.75" customHeight="1" x14ac:dyDescent="0.2">
      <c r="A75" s="57" t="s">
        <v>117</v>
      </c>
      <c r="B75" s="62" t="s">
        <v>25</v>
      </c>
      <c r="C75" s="22" t="s">
        <v>159</v>
      </c>
      <c r="D75" s="59" t="s">
        <v>160</v>
      </c>
      <c r="E75" s="60" t="s">
        <v>161</v>
      </c>
      <c r="F75" s="61" t="s">
        <v>36</v>
      </c>
      <c r="G75" s="61" t="s">
        <v>162</v>
      </c>
      <c r="H75" s="61" t="s">
        <v>121</v>
      </c>
      <c r="I75" s="63">
        <v>85000</v>
      </c>
      <c r="J75" s="57">
        <v>1</v>
      </c>
      <c r="K75" s="63">
        <v>85000</v>
      </c>
      <c r="L75" s="33">
        <v>0</v>
      </c>
      <c r="M75" s="33">
        <v>0</v>
      </c>
      <c r="N75" s="63">
        <v>85000</v>
      </c>
      <c r="O75" s="36"/>
      <c r="P75" s="36"/>
      <c r="Q75" s="34"/>
      <c r="R75" s="36"/>
      <c r="S75" s="18"/>
      <c r="T75" s="38"/>
    </row>
    <row r="76" spans="1:20" ht="49.5" customHeight="1" x14ac:dyDescent="0.2">
      <c r="A76" s="20" t="s">
        <v>117</v>
      </c>
      <c r="B76" s="35" t="s">
        <v>131</v>
      </c>
      <c r="C76" s="22" t="s">
        <v>159</v>
      </c>
      <c r="D76" s="45" t="s">
        <v>163</v>
      </c>
      <c r="E76" s="24" t="s">
        <v>164</v>
      </c>
      <c r="F76" s="26" t="s">
        <v>36</v>
      </c>
      <c r="G76" s="26" t="s">
        <v>29</v>
      </c>
      <c r="H76" s="26" t="s">
        <v>121</v>
      </c>
      <c r="I76" s="28">
        <v>90000</v>
      </c>
      <c r="J76" s="20">
        <v>3</v>
      </c>
      <c r="K76" s="39">
        <f>I76*J76</f>
        <v>270000</v>
      </c>
      <c r="L76" s="39">
        <v>0</v>
      </c>
      <c r="M76" s="39">
        <v>0</v>
      </c>
      <c r="N76" s="30">
        <f>K76*1.25</f>
        <v>337500</v>
      </c>
      <c r="O76" s="36"/>
      <c r="P76" s="34"/>
      <c r="Q76" s="34"/>
      <c r="R76" s="36"/>
      <c r="S76" s="18"/>
      <c r="T76" s="37"/>
    </row>
    <row r="77" spans="1:20" s="44" customFormat="1" ht="125.25" customHeight="1" x14ac:dyDescent="0.2">
      <c r="A77" s="20" t="s">
        <v>117</v>
      </c>
      <c r="B77" s="35" t="s">
        <v>131</v>
      </c>
      <c r="C77" s="22" t="s">
        <v>108</v>
      </c>
      <c r="D77" s="13" t="s">
        <v>165</v>
      </c>
      <c r="E77" s="24" t="s">
        <v>166</v>
      </c>
      <c r="F77" s="26" t="s">
        <v>36</v>
      </c>
      <c r="G77" s="26" t="s">
        <v>30</v>
      </c>
      <c r="H77" s="26" t="s">
        <v>121</v>
      </c>
      <c r="I77" s="28">
        <v>7300</v>
      </c>
      <c r="J77" s="26">
        <v>9</v>
      </c>
      <c r="K77" s="39">
        <f>I77*J77</f>
        <v>65700</v>
      </c>
      <c r="L77" s="38">
        <v>0</v>
      </c>
      <c r="M77" s="38">
        <v>0</v>
      </c>
      <c r="N77" s="30">
        <f>K77+L77+M77</f>
        <v>65700</v>
      </c>
      <c r="O77" s="36"/>
      <c r="P77" s="34"/>
      <c r="Q77" s="34"/>
      <c r="R77" s="36"/>
      <c r="S77" s="18"/>
      <c r="T77" s="37"/>
    </row>
    <row r="78" spans="1:20" ht="24" customHeight="1" x14ac:dyDescent="0.2">
      <c r="A78" s="20" t="s">
        <v>117</v>
      </c>
      <c r="B78" s="35" t="s">
        <v>118</v>
      </c>
      <c r="C78" s="22" t="s">
        <v>108</v>
      </c>
      <c r="D78" s="13" t="s">
        <v>167</v>
      </c>
      <c r="E78" s="24" t="s">
        <v>168</v>
      </c>
      <c r="F78" s="26" t="s">
        <v>36</v>
      </c>
      <c r="G78" s="26" t="s">
        <v>121</v>
      </c>
      <c r="H78" s="26" t="s">
        <v>121</v>
      </c>
      <c r="I78" s="28">
        <v>3000</v>
      </c>
      <c r="J78" s="26">
        <v>1</v>
      </c>
      <c r="K78" s="39">
        <f>I78*J78</f>
        <v>3000</v>
      </c>
      <c r="L78" s="38">
        <v>0</v>
      </c>
      <c r="M78" s="38">
        <v>0</v>
      </c>
      <c r="N78" s="30">
        <f>K78+L78+M78</f>
        <v>3000</v>
      </c>
      <c r="O78" s="36"/>
      <c r="P78" s="34"/>
      <c r="Q78" s="34"/>
      <c r="R78" s="36"/>
      <c r="S78" s="18"/>
      <c r="T78" s="37"/>
    </row>
    <row r="79" spans="1:20" customFormat="1" ht="182" x14ac:dyDescent="0.2">
      <c r="A79" s="57" t="s">
        <v>117</v>
      </c>
      <c r="B79" s="58" t="s">
        <v>118</v>
      </c>
      <c r="C79" s="51" t="s">
        <v>108</v>
      </c>
      <c r="D79" s="23" t="s">
        <v>169</v>
      </c>
      <c r="E79" s="49" t="s">
        <v>170</v>
      </c>
      <c r="F79" s="25" t="s">
        <v>36</v>
      </c>
      <c r="G79" s="26" t="s">
        <v>30</v>
      </c>
      <c r="H79" s="20">
        <v>3</v>
      </c>
      <c r="I79" s="27">
        <v>10560</v>
      </c>
      <c r="J79" s="26">
        <v>3</v>
      </c>
      <c r="K79" s="52">
        <v>31680</v>
      </c>
      <c r="L79" s="28">
        <v>0</v>
      </c>
      <c r="M79" s="29">
        <v>0</v>
      </c>
      <c r="N79" s="30">
        <v>31680</v>
      </c>
      <c r="O79" s="64"/>
      <c r="P79" s="64"/>
      <c r="Q79" s="64" t="s">
        <v>31</v>
      </c>
      <c r="R79" s="64" t="s">
        <v>31</v>
      </c>
      <c r="S79" s="64"/>
      <c r="T79" s="64"/>
    </row>
    <row r="80" spans="1:20" ht="24" customHeight="1" x14ac:dyDescent="0.2">
      <c r="A80" s="68" t="s">
        <v>117</v>
      </c>
      <c r="B80" s="68" t="s">
        <v>25</v>
      </c>
      <c r="C80" s="22" t="s">
        <v>108</v>
      </c>
      <c r="D80" s="45" t="s">
        <v>171</v>
      </c>
      <c r="E80" s="24" t="s">
        <v>172</v>
      </c>
      <c r="F80" s="26" t="s">
        <v>36</v>
      </c>
      <c r="G80" s="26" t="s">
        <v>30</v>
      </c>
      <c r="H80" s="26" t="s">
        <v>121</v>
      </c>
      <c r="I80" s="28">
        <v>75</v>
      </c>
      <c r="J80" s="26">
        <v>84</v>
      </c>
      <c r="K80" s="39">
        <f>I80*J80</f>
        <v>6300</v>
      </c>
      <c r="L80" s="39">
        <v>0</v>
      </c>
      <c r="M80" s="39">
        <v>0</v>
      </c>
      <c r="N80" s="30">
        <f>K80+L80+M80</f>
        <v>6300</v>
      </c>
      <c r="O80" s="26"/>
      <c r="P80" s="37"/>
      <c r="Q80" s="48"/>
      <c r="R80" s="37"/>
      <c r="S80" s="28"/>
      <c r="T80" s="37"/>
    </row>
    <row r="81" spans="1:20" ht="24" customHeight="1" x14ac:dyDescent="0.2">
      <c r="A81" s="73"/>
      <c r="B81" s="95"/>
      <c r="C81" s="96"/>
      <c r="D81" s="97"/>
      <c r="E81" s="89"/>
      <c r="F81" s="84"/>
      <c r="G81" s="84"/>
      <c r="H81" s="84"/>
      <c r="I81" s="86"/>
      <c r="J81" s="84"/>
      <c r="K81" s="98"/>
      <c r="L81" s="99"/>
      <c r="M81" s="99"/>
      <c r="N81" s="91"/>
      <c r="O81" s="73"/>
      <c r="P81" s="100"/>
      <c r="Q81" s="100"/>
      <c r="R81" s="73"/>
      <c r="S81" s="86"/>
      <c r="T81" s="94"/>
    </row>
    <row r="82" spans="1:20" ht="97.5" customHeight="1" x14ac:dyDescent="0.2">
      <c r="A82" s="20" t="s">
        <v>173</v>
      </c>
      <c r="B82" s="32" t="s">
        <v>25</v>
      </c>
      <c r="C82" s="69" t="s">
        <v>174</v>
      </c>
      <c r="D82" s="23" t="s">
        <v>175</v>
      </c>
      <c r="E82" s="23" t="s">
        <v>176</v>
      </c>
      <c r="F82" s="42" t="s">
        <v>36</v>
      </c>
      <c r="G82" s="42" t="s">
        <v>30</v>
      </c>
      <c r="H82" s="71">
        <v>3</v>
      </c>
      <c r="I82" s="72">
        <v>33.71</v>
      </c>
      <c r="J82" s="70">
        <v>500</v>
      </c>
      <c r="K82" s="47">
        <f>I82*J82</f>
        <v>16855</v>
      </c>
      <c r="L82" s="47">
        <v>0</v>
      </c>
      <c r="M82" s="47"/>
      <c r="N82" s="30">
        <f>K82+L82+M82</f>
        <v>16855</v>
      </c>
      <c r="O82" s="17"/>
      <c r="P82" s="16"/>
      <c r="Q82" s="16"/>
      <c r="R82" s="16"/>
      <c r="S82" s="18"/>
      <c r="T82" s="13"/>
    </row>
    <row r="83" spans="1:20" ht="24" customHeight="1" x14ac:dyDescent="0.2">
      <c r="A83" s="73"/>
      <c r="B83" s="74"/>
      <c r="C83" s="101"/>
      <c r="D83" s="102"/>
      <c r="E83" s="102"/>
      <c r="F83" s="103"/>
      <c r="G83" s="103"/>
      <c r="H83" s="104"/>
      <c r="I83" s="105"/>
      <c r="J83" s="106"/>
      <c r="K83" s="107"/>
      <c r="L83" s="107"/>
      <c r="M83" s="107"/>
      <c r="N83" s="91"/>
      <c r="O83" s="85"/>
      <c r="P83" s="84"/>
      <c r="Q83" s="84"/>
      <c r="R83" s="84"/>
      <c r="S83" s="86"/>
      <c r="T83" s="97"/>
    </row>
    <row r="84" spans="1:20" ht="24" customHeight="1" x14ac:dyDescent="0.2">
      <c r="A84" s="20" t="s">
        <v>177</v>
      </c>
      <c r="B84" s="32" t="s">
        <v>131</v>
      </c>
      <c r="C84" s="31" t="s">
        <v>146</v>
      </c>
      <c r="D84" s="23" t="s">
        <v>178</v>
      </c>
      <c r="E84" s="49" t="s">
        <v>179</v>
      </c>
      <c r="F84" s="25" t="s">
        <v>30</v>
      </c>
      <c r="G84" s="26" t="s">
        <v>30</v>
      </c>
      <c r="H84" s="20">
        <v>1</v>
      </c>
      <c r="I84" s="67">
        <v>150</v>
      </c>
      <c r="J84" s="26">
        <v>1</v>
      </c>
      <c r="K84" s="52">
        <v>250</v>
      </c>
      <c r="L84" s="28">
        <v>0</v>
      </c>
      <c r="M84" s="28">
        <v>0</v>
      </c>
      <c r="N84" s="30">
        <f>SUM(K84:M84)</f>
        <v>250</v>
      </c>
      <c r="O84" s="17"/>
      <c r="P84" s="16"/>
      <c r="Q84" s="16"/>
      <c r="R84" s="16"/>
      <c r="S84" s="18"/>
      <c r="T84" s="13"/>
    </row>
    <row r="85" spans="1:20" ht="24" customHeight="1" x14ac:dyDescent="0.2">
      <c r="A85" s="73"/>
      <c r="B85" s="74"/>
      <c r="C85" s="75"/>
      <c r="D85" s="102"/>
      <c r="E85" s="108"/>
      <c r="F85" s="90"/>
      <c r="G85" s="84"/>
      <c r="H85" s="73"/>
      <c r="I85" s="92"/>
      <c r="J85" s="84"/>
      <c r="K85" s="93"/>
      <c r="L85" s="86"/>
      <c r="M85" s="86"/>
      <c r="N85" s="91"/>
      <c r="O85" s="85"/>
      <c r="P85" s="84"/>
      <c r="Q85" s="84"/>
      <c r="R85" s="84"/>
      <c r="S85" s="86"/>
      <c r="T85" s="97"/>
    </row>
    <row r="86" spans="1:20" ht="24" customHeight="1" x14ac:dyDescent="0.2">
      <c r="A86" s="20" t="s">
        <v>180</v>
      </c>
      <c r="B86" s="32" t="s">
        <v>131</v>
      </c>
      <c r="C86" s="31" t="s">
        <v>33</v>
      </c>
      <c r="D86" s="23" t="s">
        <v>181</v>
      </c>
      <c r="E86" s="49" t="s">
        <v>182</v>
      </c>
      <c r="F86" s="25" t="s">
        <v>36</v>
      </c>
      <c r="G86" s="26" t="s">
        <v>30</v>
      </c>
      <c r="H86" s="20">
        <v>1</v>
      </c>
      <c r="I86" s="67">
        <v>35.32</v>
      </c>
      <c r="J86" s="26">
        <v>6</v>
      </c>
      <c r="K86" s="52">
        <v>211.92</v>
      </c>
      <c r="L86" s="28">
        <v>0</v>
      </c>
      <c r="M86" s="28">
        <v>0</v>
      </c>
      <c r="N86" s="30">
        <v>916.85</v>
      </c>
      <c r="O86" s="17"/>
      <c r="P86" s="16"/>
      <c r="Q86" s="16"/>
      <c r="R86" s="16"/>
      <c r="S86" s="18"/>
      <c r="T86" s="13"/>
    </row>
    <row r="87" spans="1:20" ht="24" customHeight="1" x14ac:dyDescent="0.2">
      <c r="A87" s="20" t="s">
        <v>180</v>
      </c>
      <c r="B87" s="32" t="s">
        <v>131</v>
      </c>
      <c r="C87" s="31" t="s">
        <v>146</v>
      </c>
      <c r="D87" s="23" t="s">
        <v>183</v>
      </c>
      <c r="E87" s="49" t="s">
        <v>184</v>
      </c>
      <c r="F87" s="25" t="s">
        <v>36</v>
      </c>
      <c r="G87" s="26" t="s">
        <v>30</v>
      </c>
      <c r="H87" s="20">
        <v>1</v>
      </c>
      <c r="I87" s="27">
        <v>239</v>
      </c>
      <c r="J87" s="26">
        <v>1</v>
      </c>
      <c r="K87" s="50">
        <v>239</v>
      </c>
      <c r="L87" s="29">
        <v>0</v>
      </c>
      <c r="M87" s="29">
        <v>0</v>
      </c>
      <c r="N87" s="30">
        <v>500</v>
      </c>
      <c r="O87" s="17"/>
      <c r="P87" s="16"/>
      <c r="Q87" s="16"/>
      <c r="R87" s="16"/>
      <c r="S87" s="18"/>
      <c r="T87" s="13"/>
    </row>
    <row r="88" spans="1:20" ht="24" customHeight="1" x14ac:dyDescent="0.2">
      <c r="A88" s="20" t="s">
        <v>180</v>
      </c>
      <c r="B88" s="32" t="s">
        <v>48</v>
      </c>
      <c r="C88" s="31" t="s">
        <v>146</v>
      </c>
      <c r="D88" s="23" t="s">
        <v>185</v>
      </c>
      <c r="E88" s="49" t="s">
        <v>186</v>
      </c>
      <c r="F88" s="25" t="s">
        <v>36</v>
      </c>
      <c r="G88" s="26" t="s">
        <v>30</v>
      </c>
      <c r="H88" s="20">
        <v>1</v>
      </c>
      <c r="I88" s="27">
        <v>149</v>
      </c>
      <c r="J88" s="26">
        <v>2</v>
      </c>
      <c r="K88" s="50">
        <v>298</v>
      </c>
      <c r="L88" s="29">
        <v>0</v>
      </c>
      <c r="M88" s="29">
        <v>0</v>
      </c>
      <c r="N88" s="30">
        <v>298</v>
      </c>
      <c r="O88" s="17"/>
      <c r="P88" s="16"/>
      <c r="Q88" s="16"/>
      <c r="R88" s="16"/>
      <c r="S88" s="18"/>
      <c r="T88" s="13"/>
    </row>
    <row r="89" spans="1:20" ht="24" customHeight="1" x14ac:dyDescent="0.2">
      <c r="A89" s="20" t="s">
        <v>180</v>
      </c>
      <c r="B89" s="32" t="s">
        <v>48</v>
      </c>
      <c r="C89" s="31" t="s">
        <v>146</v>
      </c>
      <c r="D89" s="23" t="s">
        <v>187</v>
      </c>
      <c r="E89" s="49" t="s">
        <v>188</v>
      </c>
      <c r="F89" s="25" t="s">
        <v>36</v>
      </c>
      <c r="G89" s="26" t="s">
        <v>30</v>
      </c>
      <c r="H89" s="20">
        <v>1</v>
      </c>
      <c r="I89" s="27">
        <v>4500</v>
      </c>
      <c r="J89" s="26">
        <v>1</v>
      </c>
      <c r="K89" s="50">
        <v>4500</v>
      </c>
      <c r="L89" s="29">
        <v>0</v>
      </c>
      <c r="M89" s="29">
        <v>0</v>
      </c>
      <c r="N89" s="30">
        <v>4500</v>
      </c>
      <c r="O89" s="17"/>
      <c r="P89" s="16"/>
      <c r="Q89" s="16"/>
      <c r="R89" s="16"/>
      <c r="S89" s="18"/>
      <c r="T89" s="13"/>
    </row>
    <row r="90" spans="1:20" ht="24" customHeight="1" x14ac:dyDescent="0.2">
      <c r="A90" s="20" t="s">
        <v>180</v>
      </c>
      <c r="B90" s="32" t="s">
        <v>48</v>
      </c>
      <c r="C90" s="31" t="s">
        <v>146</v>
      </c>
      <c r="D90" s="23" t="s">
        <v>189</v>
      </c>
      <c r="E90" s="49" t="s">
        <v>190</v>
      </c>
      <c r="F90" s="25" t="s">
        <v>36</v>
      </c>
      <c r="G90" s="26" t="s">
        <v>30</v>
      </c>
      <c r="H90" s="20">
        <v>1</v>
      </c>
      <c r="I90" s="27">
        <v>8400</v>
      </c>
      <c r="J90" s="26">
        <v>1</v>
      </c>
      <c r="K90" s="50">
        <v>8400</v>
      </c>
      <c r="L90" s="29">
        <v>0</v>
      </c>
      <c r="M90" s="29">
        <v>0</v>
      </c>
      <c r="N90" s="30">
        <v>8400</v>
      </c>
      <c r="O90" s="17"/>
      <c r="P90" s="16"/>
      <c r="Q90" s="16"/>
      <c r="R90" s="16"/>
      <c r="S90" s="18"/>
      <c r="T90" s="13"/>
    </row>
    <row r="91" spans="1:20" ht="24" customHeight="1" x14ac:dyDescent="0.2">
      <c r="A91" s="20" t="s">
        <v>180</v>
      </c>
      <c r="B91" s="32" t="s">
        <v>79</v>
      </c>
      <c r="C91" s="31" t="s">
        <v>146</v>
      </c>
      <c r="D91" s="23" t="s">
        <v>191</v>
      </c>
      <c r="E91" s="49" t="s">
        <v>192</v>
      </c>
      <c r="F91" s="25" t="s">
        <v>36</v>
      </c>
      <c r="G91" s="26" t="s">
        <v>30</v>
      </c>
      <c r="H91" s="20">
        <v>1</v>
      </c>
      <c r="I91" s="27">
        <v>120</v>
      </c>
      <c r="J91" s="26">
        <v>6</v>
      </c>
      <c r="K91" s="50">
        <v>720</v>
      </c>
      <c r="L91" s="29">
        <v>0</v>
      </c>
      <c r="M91" s="29">
        <v>0</v>
      </c>
      <c r="N91" s="30">
        <v>720</v>
      </c>
      <c r="O91" s="17"/>
      <c r="P91" s="16"/>
      <c r="Q91" s="16"/>
      <c r="R91" s="16"/>
      <c r="S91" s="18"/>
      <c r="T91" s="13"/>
    </row>
    <row r="92" spans="1:20" ht="69.75" customHeight="1" x14ac:dyDescent="0.2">
      <c r="A92" s="20" t="s">
        <v>180</v>
      </c>
      <c r="B92" s="51" t="s">
        <v>131</v>
      </c>
      <c r="C92" s="31" t="s">
        <v>146</v>
      </c>
      <c r="D92" s="23" t="s">
        <v>193</v>
      </c>
      <c r="E92" s="49" t="s">
        <v>194</v>
      </c>
      <c r="F92" s="25" t="s">
        <v>36</v>
      </c>
      <c r="G92" s="26" t="s">
        <v>30</v>
      </c>
      <c r="H92" s="20">
        <v>1</v>
      </c>
      <c r="I92" s="27">
        <v>120</v>
      </c>
      <c r="J92" s="26">
        <v>1</v>
      </c>
      <c r="K92" s="50">
        <v>120</v>
      </c>
      <c r="L92" s="29">
        <v>0</v>
      </c>
      <c r="M92" s="29">
        <v>0</v>
      </c>
      <c r="N92" s="30">
        <v>120</v>
      </c>
      <c r="O92" s="16"/>
      <c r="P92" s="16"/>
      <c r="Q92" s="16" t="s">
        <v>31</v>
      </c>
      <c r="R92" s="16"/>
      <c r="S92" s="18"/>
      <c r="T92" s="38" t="s">
        <v>32</v>
      </c>
    </row>
    <row r="93" spans="1:20" ht="45" customHeight="1" x14ac:dyDescent="0.2">
      <c r="A93" s="135" t="s">
        <v>180</v>
      </c>
      <c r="B93" s="136" t="s">
        <v>131</v>
      </c>
      <c r="C93" s="136" t="s">
        <v>108</v>
      </c>
      <c r="D93" s="137" t="s">
        <v>195</v>
      </c>
      <c r="E93" s="138" t="s">
        <v>196</v>
      </c>
      <c r="F93" s="139" t="s">
        <v>36</v>
      </c>
      <c r="G93" s="140" t="s">
        <v>30</v>
      </c>
      <c r="H93" s="135">
        <v>1</v>
      </c>
      <c r="I93" s="141">
        <v>85000</v>
      </c>
      <c r="J93" s="140">
        <v>1</v>
      </c>
      <c r="K93" s="142" t="s">
        <v>32</v>
      </c>
      <c r="L93" s="143">
        <v>0</v>
      </c>
      <c r="M93" s="144">
        <v>0</v>
      </c>
      <c r="N93" s="145">
        <f>I93*1.3</f>
        <v>110500</v>
      </c>
      <c r="O93" s="146"/>
      <c r="P93" s="16"/>
      <c r="Q93" s="17"/>
      <c r="R93" s="16"/>
      <c r="S93" s="18"/>
      <c r="T93" s="37"/>
    </row>
    <row r="94" spans="1:20" ht="90" x14ac:dyDescent="0.2">
      <c r="A94" s="125" t="s">
        <v>197</v>
      </c>
      <c r="B94" s="126" t="s">
        <v>25</v>
      </c>
      <c r="C94" s="127" t="s">
        <v>108</v>
      </c>
      <c r="D94" s="128" t="s">
        <v>149</v>
      </c>
      <c r="E94" s="128" t="s">
        <v>198</v>
      </c>
      <c r="F94" s="129"/>
      <c r="G94" s="129"/>
      <c r="H94" s="129"/>
      <c r="I94" s="130">
        <v>2400</v>
      </c>
      <c r="J94" s="126">
        <v>9</v>
      </c>
      <c r="K94" s="131" t="s">
        <v>32</v>
      </c>
      <c r="L94" s="132">
        <v>0</v>
      </c>
      <c r="M94" s="133">
        <v>0</v>
      </c>
      <c r="N94" s="134">
        <f>I94*1.3</f>
        <v>3120</v>
      </c>
      <c r="O94" s="126"/>
    </row>
  </sheetData>
  <mergeCells count="6">
    <mergeCell ref="T4:T5"/>
    <mergeCell ref="B1:N1"/>
    <mergeCell ref="B2:R2"/>
    <mergeCell ref="B3:R3"/>
    <mergeCell ref="A4:N4"/>
    <mergeCell ref="O4:R4"/>
  </mergeCells>
  <dataValidations disablePrompts="1" count="1">
    <dataValidation allowBlank="1" showInputMessage="1" showErrorMessage="1" promptTitle="Enter Justification" sqref="E65 E86:E88 E6:E10 E13:E51 A40:C40 E53:E57 M40 F40:J40 O38:P44 S38:T44" xr:uid="{00000000-0002-0000-0000-000000000000}"/>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11FDD-81E2-FB4E-899C-3FCFB55E012B}">
  <dimension ref="A1:T126"/>
  <sheetViews>
    <sheetView zoomScale="90" zoomScaleNormal="90" workbookViewId="0">
      <selection activeCell="D104" sqref="D104"/>
    </sheetView>
  </sheetViews>
  <sheetFormatPr baseColWidth="10" defaultColWidth="8.83203125" defaultRowHeight="16" x14ac:dyDescent="0.2"/>
  <cols>
    <col min="1" max="2" width="8.83203125" style="5"/>
    <col min="3" max="3" width="11.83203125" style="5" customWidth="1"/>
    <col min="4" max="4" width="54.33203125" style="5" customWidth="1"/>
    <col min="5" max="5" width="48.6640625" style="5" customWidth="1"/>
    <col min="6" max="7" width="8.83203125" style="209"/>
    <col min="8" max="8" width="9" style="209" bestFit="1" customWidth="1"/>
    <col min="9" max="9" width="14.6640625" style="5" customWidth="1"/>
    <col min="10" max="10" width="9" style="5" bestFit="1" customWidth="1"/>
    <col min="11" max="11" width="16.33203125" style="5" customWidth="1"/>
    <col min="12" max="12" width="15.33203125" style="5" customWidth="1"/>
    <col min="13" max="13" width="17" style="5" customWidth="1"/>
    <col min="14" max="14" width="15.5" style="5" bestFit="1" customWidth="1"/>
    <col min="15" max="19" width="8.83203125" style="5"/>
    <col min="20" max="20" width="39.1640625" style="208" customWidth="1"/>
    <col min="21" max="16384" width="8.83203125" style="5"/>
  </cols>
  <sheetData>
    <row r="1" spans="1:20" x14ac:dyDescent="0.2">
      <c r="A1" s="1"/>
      <c r="B1" s="181" t="s">
        <v>0</v>
      </c>
      <c r="C1" s="181"/>
      <c r="D1" s="181"/>
      <c r="E1" s="181"/>
      <c r="F1" s="181"/>
      <c r="G1" s="181"/>
      <c r="H1" s="181"/>
      <c r="I1" s="181"/>
      <c r="J1" s="181"/>
      <c r="K1" s="181"/>
      <c r="L1" s="181"/>
      <c r="M1" s="181"/>
      <c r="N1" s="181"/>
      <c r="O1" s="147"/>
      <c r="P1" s="147"/>
      <c r="Q1" s="147"/>
      <c r="R1" s="147"/>
      <c r="S1" s="1"/>
      <c r="T1" s="4"/>
    </row>
    <row r="2" spans="1:20" x14ac:dyDescent="0.2">
      <c r="A2" s="1"/>
      <c r="B2" s="182" t="s">
        <v>548</v>
      </c>
      <c r="C2" s="186"/>
      <c r="D2" s="187"/>
      <c r="E2" s="187"/>
      <c r="F2" s="187"/>
      <c r="G2" s="187"/>
      <c r="H2" s="187"/>
      <c r="I2" s="187"/>
      <c r="J2" s="187"/>
      <c r="K2" s="187"/>
      <c r="L2" s="187"/>
      <c r="M2" s="187"/>
      <c r="N2" s="187"/>
      <c r="O2" s="187"/>
      <c r="P2" s="187"/>
      <c r="Q2" s="187"/>
      <c r="R2" s="188"/>
      <c r="S2" s="1"/>
      <c r="T2" s="4"/>
    </row>
    <row r="3" spans="1:20" ht="94.5" customHeight="1" x14ac:dyDescent="0.2">
      <c r="A3" s="1"/>
      <c r="B3" s="183" t="s">
        <v>2</v>
      </c>
      <c r="C3" s="189"/>
      <c r="D3" s="190"/>
      <c r="E3" s="190"/>
      <c r="F3" s="190"/>
      <c r="G3" s="190"/>
      <c r="H3" s="190"/>
      <c r="I3" s="190"/>
      <c r="J3" s="190"/>
      <c r="K3" s="190"/>
      <c r="L3" s="190"/>
      <c r="M3" s="190"/>
      <c r="N3" s="190"/>
      <c r="O3" s="190"/>
      <c r="P3" s="190"/>
      <c r="Q3" s="190"/>
      <c r="R3" s="190"/>
      <c r="S3" s="1"/>
      <c r="T3" s="4"/>
    </row>
    <row r="4" spans="1:20" ht="23" x14ac:dyDescent="0.2">
      <c r="A4" s="184"/>
      <c r="B4" s="184"/>
      <c r="C4" s="184"/>
      <c r="D4" s="184"/>
      <c r="E4" s="184"/>
      <c r="F4" s="184"/>
      <c r="G4" s="184"/>
      <c r="H4" s="184"/>
      <c r="I4" s="184"/>
      <c r="J4" s="184"/>
      <c r="K4" s="184"/>
      <c r="L4" s="184"/>
      <c r="M4" s="184"/>
      <c r="N4" s="184"/>
      <c r="O4" s="185" t="s">
        <v>3</v>
      </c>
      <c r="P4" s="185"/>
      <c r="Q4" s="185"/>
      <c r="R4" s="185"/>
      <c r="S4" s="185"/>
      <c r="T4" s="419" t="s">
        <v>4</v>
      </c>
    </row>
    <row r="5" spans="1:20" ht="130" x14ac:dyDescent="0.2">
      <c r="A5" s="7" t="s">
        <v>5</v>
      </c>
      <c r="B5" s="8" t="s">
        <v>6</v>
      </c>
      <c r="C5" s="8" t="s">
        <v>7</v>
      </c>
      <c r="D5" s="9" t="s">
        <v>8</v>
      </c>
      <c r="E5" s="9" t="s">
        <v>9</v>
      </c>
      <c r="F5" s="7" t="s">
        <v>10</v>
      </c>
      <c r="G5" s="7" t="s">
        <v>11</v>
      </c>
      <c r="H5" s="7" t="s">
        <v>12</v>
      </c>
      <c r="I5" s="7" t="s">
        <v>13</v>
      </c>
      <c r="J5" s="7" t="s">
        <v>14</v>
      </c>
      <c r="K5" s="10" t="s">
        <v>15</v>
      </c>
      <c r="L5" s="7" t="s">
        <v>16</v>
      </c>
      <c r="M5" s="7" t="s">
        <v>17</v>
      </c>
      <c r="N5" s="7" t="s">
        <v>18</v>
      </c>
      <c r="O5" s="11" t="s">
        <v>19</v>
      </c>
      <c r="P5" s="11" t="s">
        <v>20</v>
      </c>
      <c r="Q5" s="11" t="s">
        <v>21</v>
      </c>
      <c r="R5" s="11" t="s">
        <v>22</v>
      </c>
      <c r="S5" s="11" t="s">
        <v>66</v>
      </c>
      <c r="T5" s="419"/>
    </row>
    <row r="6" spans="1:20" ht="35" customHeight="1" x14ac:dyDescent="0.2">
      <c r="A6" s="20" t="s">
        <v>526</v>
      </c>
      <c r="B6" s="51" t="s">
        <v>25</v>
      </c>
      <c r="C6" s="51" t="s">
        <v>26</v>
      </c>
      <c r="D6" s="24" t="s">
        <v>547</v>
      </c>
      <c r="E6" s="420" t="s">
        <v>546</v>
      </c>
      <c r="F6" s="26" t="s">
        <v>36</v>
      </c>
      <c r="G6" s="26" t="s">
        <v>30</v>
      </c>
      <c r="H6" s="26">
        <v>1</v>
      </c>
      <c r="I6" s="28">
        <v>233.3</v>
      </c>
      <c r="J6" s="20">
        <v>4</v>
      </c>
      <c r="K6" s="28">
        <f>I6*J6</f>
        <v>933.2</v>
      </c>
      <c r="L6" s="28">
        <f>K6*9%</f>
        <v>83.988</v>
      </c>
      <c r="M6" s="28">
        <v>30</v>
      </c>
      <c r="N6" s="30">
        <f>K6+L6+M6</f>
        <v>1047.1880000000001</v>
      </c>
      <c r="O6" s="355"/>
      <c r="P6" s="355"/>
      <c r="Q6" s="355"/>
      <c r="R6" s="355"/>
      <c r="S6" s="414"/>
      <c r="T6" s="13"/>
    </row>
    <row r="7" spans="1:20" ht="33" customHeight="1" x14ac:dyDescent="0.2">
      <c r="A7" s="20" t="s">
        <v>526</v>
      </c>
      <c r="B7" s="51" t="s">
        <v>25</v>
      </c>
      <c r="C7" s="51" t="s">
        <v>26</v>
      </c>
      <c r="D7" s="13" t="s">
        <v>545</v>
      </c>
      <c r="E7" s="420"/>
      <c r="F7" s="26" t="s">
        <v>36</v>
      </c>
      <c r="G7" s="26" t="s">
        <v>30</v>
      </c>
      <c r="H7" s="20">
        <v>1</v>
      </c>
      <c r="I7" s="28">
        <v>124.1</v>
      </c>
      <c r="J7" s="26">
        <v>3</v>
      </c>
      <c r="K7" s="28">
        <f>I7*J7</f>
        <v>372.29999999999995</v>
      </c>
      <c r="L7" s="28">
        <f>K7*9%</f>
        <v>33.506999999999998</v>
      </c>
      <c r="M7" s="28">
        <v>30</v>
      </c>
      <c r="N7" s="30">
        <f>K7+L7+M7</f>
        <v>435.80699999999996</v>
      </c>
      <c r="O7" s="355"/>
      <c r="P7" s="355"/>
      <c r="Q7" s="355"/>
      <c r="R7" s="355"/>
      <c r="S7" s="414"/>
      <c r="T7" s="13"/>
    </row>
    <row r="8" spans="1:20" ht="31.75" customHeight="1" x14ac:dyDescent="0.2">
      <c r="A8" s="20" t="s">
        <v>526</v>
      </c>
      <c r="B8" s="51" t="s">
        <v>25</v>
      </c>
      <c r="C8" s="51" t="s">
        <v>26</v>
      </c>
      <c r="D8" s="418" t="s">
        <v>544</v>
      </c>
      <c r="E8" s="420"/>
      <c r="F8" s="26" t="s">
        <v>36</v>
      </c>
      <c r="G8" s="26" t="s">
        <v>37</v>
      </c>
      <c r="H8" s="116">
        <v>10</v>
      </c>
      <c r="I8" s="417">
        <v>247</v>
      </c>
      <c r="J8" s="25">
        <v>2</v>
      </c>
      <c r="K8" s="28">
        <f>I8*J8</f>
        <v>494</v>
      </c>
      <c r="L8" s="28">
        <f>K8*9%</f>
        <v>44.46</v>
      </c>
      <c r="M8" s="417">
        <v>50</v>
      </c>
      <c r="N8" s="30">
        <f>K8+L8+M8</f>
        <v>588.46</v>
      </c>
      <c r="O8" s="355"/>
      <c r="P8" s="355"/>
      <c r="Q8" s="355"/>
      <c r="R8" s="355"/>
      <c r="S8" s="414"/>
      <c r="T8" s="13"/>
    </row>
    <row r="9" spans="1:20" ht="31.75" customHeight="1" x14ac:dyDescent="0.2">
      <c r="A9" s="20" t="s">
        <v>526</v>
      </c>
      <c r="B9" s="51" t="s">
        <v>25</v>
      </c>
      <c r="C9" s="51" t="s">
        <v>26</v>
      </c>
      <c r="D9" s="418" t="s">
        <v>543</v>
      </c>
      <c r="E9" s="420"/>
      <c r="F9" s="26" t="s">
        <v>36</v>
      </c>
      <c r="G9" s="26" t="s">
        <v>37</v>
      </c>
      <c r="H9" s="116">
        <v>10</v>
      </c>
      <c r="I9" s="417">
        <v>296</v>
      </c>
      <c r="J9" s="25">
        <v>4</v>
      </c>
      <c r="K9" s="28">
        <f>I9*J9</f>
        <v>1184</v>
      </c>
      <c r="L9" s="28">
        <f>K9*9%</f>
        <v>106.56</v>
      </c>
      <c r="M9" s="417">
        <v>100</v>
      </c>
      <c r="N9" s="30">
        <f>K9+L9+M9</f>
        <v>1390.56</v>
      </c>
      <c r="O9" s="355"/>
      <c r="P9" s="355"/>
      <c r="Q9" s="355"/>
      <c r="R9" s="355"/>
      <c r="S9" s="414"/>
      <c r="T9" s="13"/>
    </row>
    <row r="10" spans="1:20" ht="31.75" customHeight="1" x14ac:dyDescent="0.2">
      <c r="A10" s="20" t="s">
        <v>526</v>
      </c>
      <c r="B10" s="51" t="s">
        <v>25</v>
      </c>
      <c r="C10" s="51" t="s">
        <v>26</v>
      </c>
      <c r="D10" s="421" t="s">
        <v>542</v>
      </c>
      <c r="E10" s="420"/>
      <c r="F10" s="26" t="s">
        <v>36</v>
      </c>
      <c r="G10" s="26" t="s">
        <v>37</v>
      </c>
      <c r="H10" s="116">
        <v>10</v>
      </c>
      <c r="I10" s="417">
        <v>200</v>
      </c>
      <c r="J10" s="25">
        <v>7</v>
      </c>
      <c r="K10" s="28">
        <f>I10*J10</f>
        <v>1400</v>
      </c>
      <c r="L10" s="28">
        <f>K10*9%</f>
        <v>126</v>
      </c>
      <c r="M10" s="417">
        <v>100</v>
      </c>
      <c r="N10" s="30">
        <f>K10+L10+M10</f>
        <v>1626</v>
      </c>
      <c r="O10" s="355"/>
      <c r="P10" s="355"/>
      <c r="Q10" s="355"/>
      <c r="R10" s="355"/>
      <c r="S10" s="414"/>
      <c r="T10" s="13"/>
    </row>
    <row r="11" spans="1:20" ht="31.75" customHeight="1" x14ac:dyDescent="0.2">
      <c r="A11" s="20" t="s">
        <v>526</v>
      </c>
      <c r="B11" s="51" t="s">
        <v>25</v>
      </c>
      <c r="C11" s="51" t="s">
        <v>26</v>
      </c>
      <c r="D11" s="418" t="s">
        <v>541</v>
      </c>
      <c r="E11" s="420"/>
      <c r="F11" s="26" t="s">
        <v>36</v>
      </c>
      <c r="G11" s="26" t="s">
        <v>37</v>
      </c>
      <c r="H11" s="116">
        <v>5</v>
      </c>
      <c r="I11" s="417">
        <v>489</v>
      </c>
      <c r="J11" s="25">
        <v>5</v>
      </c>
      <c r="K11" s="28">
        <f>I11*J11</f>
        <v>2445</v>
      </c>
      <c r="L11" s="28">
        <f>K11*9%</f>
        <v>220.04999999999998</v>
      </c>
      <c r="M11" s="417">
        <v>200</v>
      </c>
      <c r="N11" s="30">
        <f>K11+L11+M11</f>
        <v>2865.05</v>
      </c>
      <c r="O11" s="354"/>
      <c r="P11" s="354"/>
      <c r="Q11" s="354"/>
      <c r="R11" s="354"/>
      <c r="S11" s="355"/>
      <c r="T11" s="13"/>
    </row>
    <row r="12" spans="1:20" ht="31.75" customHeight="1" x14ac:dyDescent="0.2">
      <c r="A12" s="20" t="s">
        <v>526</v>
      </c>
      <c r="B12" s="51" t="s">
        <v>25</v>
      </c>
      <c r="C12" s="51" t="s">
        <v>26</v>
      </c>
      <c r="D12" s="13" t="s">
        <v>540</v>
      </c>
      <c r="E12" s="420"/>
      <c r="F12" s="26" t="s">
        <v>36</v>
      </c>
      <c r="G12" s="26" t="s">
        <v>37</v>
      </c>
      <c r="H12" s="20">
        <v>5</v>
      </c>
      <c r="I12" s="28">
        <v>10</v>
      </c>
      <c r="J12" s="26">
        <v>200</v>
      </c>
      <c r="K12" s="28">
        <f>I12*J12</f>
        <v>2000</v>
      </c>
      <c r="L12" s="28">
        <f>K12*9%</f>
        <v>180</v>
      </c>
      <c r="M12" s="28">
        <v>200</v>
      </c>
      <c r="N12" s="30">
        <f>K12+L12+M12</f>
        <v>2380</v>
      </c>
      <c r="O12" s="354"/>
      <c r="P12" s="354"/>
      <c r="Q12" s="354"/>
      <c r="R12" s="354"/>
      <c r="S12" s="355"/>
      <c r="T12" s="13"/>
    </row>
    <row r="13" spans="1:20" ht="31.75" customHeight="1" x14ac:dyDescent="0.2">
      <c r="A13" s="20" t="s">
        <v>526</v>
      </c>
      <c r="B13" s="51" t="s">
        <v>48</v>
      </c>
      <c r="C13" s="51" t="s">
        <v>26</v>
      </c>
      <c r="D13" s="13" t="s">
        <v>539</v>
      </c>
      <c r="E13" s="420"/>
      <c r="F13" s="26" t="s">
        <v>36</v>
      </c>
      <c r="G13" s="26" t="s">
        <v>37</v>
      </c>
      <c r="H13" s="20">
        <v>10</v>
      </c>
      <c r="I13" s="28">
        <v>258.39999999999998</v>
      </c>
      <c r="J13" s="26">
        <v>2</v>
      </c>
      <c r="K13" s="28">
        <f>I13*J13</f>
        <v>516.79999999999995</v>
      </c>
      <c r="L13" s="28">
        <f>K13*9%</f>
        <v>46.511999999999993</v>
      </c>
      <c r="M13" s="28">
        <v>100</v>
      </c>
      <c r="N13" s="30">
        <f>K13+L13+M13</f>
        <v>663.3119999999999</v>
      </c>
      <c r="O13" s="354"/>
      <c r="P13" s="354"/>
      <c r="Q13" s="354"/>
      <c r="R13" s="354"/>
      <c r="S13" s="355"/>
      <c r="T13" s="13"/>
    </row>
    <row r="14" spans="1:20" ht="31.75" customHeight="1" x14ac:dyDescent="0.2">
      <c r="A14" s="20" t="s">
        <v>526</v>
      </c>
      <c r="B14" s="51" t="s">
        <v>48</v>
      </c>
      <c r="C14" s="51" t="s">
        <v>26</v>
      </c>
      <c r="D14" s="13" t="s">
        <v>538</v>
      </c>
      <c r="E14" s="420"/>
      <c r="F14" s="26" t="s">
        <v>36</v>
      </c>
      <c r="G14" s="26" t="s">
        <v>37</v>
      </c>
      <c r="H14" s="20">
        <v>10</v>
      </c>
      <c r="I14" s="28">
        <v>174.4</v>
      </c>
      <c r="J14" s="26">
        <v>8</v>
      </c>
      <c r="K14" s="28">
        <f>I14*J14</f>
        <v>1395.2</v>
      </c>
      <c r="L14" s="28">
        <f>K14*9%</f>
        <v>125.568</v>
      </c>
      <c r="M14" s="28">
        <v>200</v>
      </c>
      <c r="N14" s="30">
        <f>K14+L14+M14</f>
        <v>1720.768</v>
      </c>
      <c r="O14" s="354"/>
      <c r="P14" s="354"/>
      <c r="Q14" s="354"/>
      <c r="R14" s="354"/>
      <c r="S14" s="414"/>
      <c r="T14" s="13"/>
    </row>
    <row r="15" spans="1:20" ht="31.75" customHeight="1" x14ac:dyDescent="0.2">
      <c r="A15" s="20" t="s">
        <v>526</v>
      </c>
      <c r="B15" s="51" t="s">
        <v>48</v>
      </c>
      <c r="C15" s="51" t="s">
        <v>26</v>
      </c>
      <c r="D15" s="13" t="s">
        <v>537</v>
      </c>
      <c r="E15" s="420"/>
      <c r="F15" s="26" t="s">
        <v>36</v>
      </c>
      <c r="G15" s="26" t="s">
        <v>37</v>
      </c>
      <c r="H15" s="20">
        <v>10</v>
      </c>
      <c r="I15" s="28">
        <v>430.46</v>
      </c>
      <c r="J15" s="26">
        <v>6</v>
      </c>
      <c r="K15" s="28">
        <f>I15*J15</f>
        <v>2582.7599999999998</v>
      </c>
      <c r="L15" s="28">
        <f>K15*9%</f>
        <v>232.44839999999996</v>
      </c>
      <c r="M15" s="28">
        <v>300</v>
      </c>
      <c r="N15" s="30">
        <f>K15+L15+M15</f>
        <v>3115.2083999999995</v>
      </c>
      <c r="O15" s="354"/>
      <c r="P15" s="354"/>
      <c r="Q15" s="354"/>
      <c r="R15" s="354"/>
      <c r="S15" s="414"/>
      <c r="T15" s="13"/>
    </row>
    <row r="16" spans="1:20" ht="31.75" customHeight="1" x14ac:dyDescent="0.2">
      <c r="A16" s="20" t="s">
        <v>526</v>
      </c>
      <c r="B16" s="51" t="s">
        <v>48</v>
      </c>
      <c r="C16" s="51" t="s">
        <v>26</v>
      </c>
      <c r="D16" s="13" t="s">
        <v>536</v>
      </c>
      <c r="E16" s="420"/>
      <c r="F16" s="26" t="s">
        <v>36</v>
      </c>
      <c r="G16" s="26" t="s">
        <v>37</v>
      </c>
      <c r="H16" s="20">
        <v>10</v>
      </c>
      <c r="I16" s="28">
        <v>1074.4000000000001</v>
      </c>
      <c r="J16" s="26">
        <v>8</v>
      </c>
      <c r="K16" s="28">
        <f>I16*J16</f>
        <v>8595.2000000000007</v>
      </c>
      <c r="L16" s="28">
        <f>K16*9%</f>
        <v>773.56799999999998</v>
      </c>
      <c r="M16" s="28">
        <v>600</v>
      </c>
      <c r="N16" s="30">
        <f>K16+L16+M16</f>
        <v>9968.768</v>
      </c>
      <c r="O16" s="354"/>
      <c r="P16" s="354"/>
      <c r="Q16" s="354"/>
      <c r="R16" s="354"/>
      <c r="S16" s="414"/>
      <c r="T16" s="13"/>
    </row>
    <row r="17" spans="1:20" ht="31.75" customHeight="1" x14ac:dyDescent="0.2">
      <c r="A17" s="26" t="s">
        <v>526</v>
      </c>
      <c r="B17" s="26" t="s">
        <v>48</v>
      </c>
      <c r="C17" s="26" t="s">
        <v>26</v>
      </c>
      <c r="D17" s="416" t="s">
        <v>535</v>
      </c>
      <c r="E17" s="420"/>
      <c r="F17" s="26" t="s">
        <v>36</v>
      </c>
      <c r="G17" s="26" t="s">
        <v>37</v>
      </c>
      <c r="H17" s="26">
        <v>10</v>
      </c>
      <c r="I17" s="269">
        <v>878.4</v>
      </c>
      <c r="J17" s="26">
        <v>8</v>
      </c>
      <c r="K17" s="415">
        <f>I17*J17</f>
        <v>7027.2</v>
      </c>
      <c r="L17" s="269">
        <f>K17*9%</f>
        <v>632.44799999999998</v>
      </c>
      <c r="M17" s="269">
        <v>500</v>
      </c>
      <c r="N17" s="422">
        <f>K17+L17+M17</f>
        <v>8159.6480000000001</v>
      </c>
      <c r="O17" s="354"/>
      <c r="P17" s="354"/>
      <c r="Q17" s="354"/>
      <c r="R17" s="354"/>
      <c r="S17" s="414"/>
      <c r="T17" s="13"/>
    </row>
    <row r="18" spans="1:20" ht="31.75" customHeight="1" x14ac:dyDescent="0.2">
      <c r="A18" s="26" t="s">
        <v>526</v>
      </c>
      <c r="B18" s="26" t="s">
        <v>48</v>
      </c>
      <c r="C18" s="26" t="s">
        <v>26</v>
      </c>
      <c r="D18" s="416" t="s">
        <v>534</v>
      </c>
      <c r="E18" s="420"/>
      <c r="F18" s="26" t="s">
        <v>36</v>
      </c>
      <c r="G18" s="26" t="s">
        <v>37</v>
      </c>
      <c r="H18" s="26">
        <v>3</v>
      </c>
      <c r="I18" s="269">
        <v>799.6</v>
      </c>
      <c r="J18" s="26">
        <v>10</v>
      </c>
      <c r="K18" s="415">
        <f>I18*J18</f>
        <v>7996</v>
      </c>
      <c r="L18" s="269">
        <f>K18*9%</f>
        <v>719.64</v>
      </c>
      <c r="M18" s="269">
        <v>500</v>
      </c>
      <c r="N18" s="422">
        <f>K18+L18+M18</f>
        <v>9215.64</v>
      </c>
      <c r="O18" s="354"/>
      <c r="P18" s="354"/>
      <c r="Q18" s="354"/>
      <c r="R18" s="354"/>
      <c r="S18" s="414"/>
      <c r="T18" s="13"/>
    </row>
    <row r="19" spans="1:20" ht="31.75" customHeight="1" x14ac:dyDescent="0.2">
      <c r="A19" s="116" t="s">
        <v>526</v>
      </c>
      <c r="B19" s="413" t="s">
        <v>48</v>
      </c>
      <c r="C19" s="413" t="s">
        <v>26</v>
      </c>
      <c r="D19" s="418" t="s">
        <v>533</v>
      </c>
      <c r="E19" s="420"/>
      <c r="F19" s="25" t="s">
        <v>36</v>
      </c>
      <c r="G19" s="25" t="s">
        <v>37</v>
      </c>
      <c r="H19" s="116">
        <v>10</v>
      </c>
      <c r="I19" s="423">
        <v>689</v>
      </c>
      <c r="J19" s="25">
        <v>2</v>
      </c>
      <c r="K19" s="423">
        <v>1378</v>
      </c>
      <c r="L19" s="423">
        <v>124.02</v>
      </c>
      <c r="M19" s="423">
        <v>200</v>
      </c>
      <c r="N19" s="424">
        <v>1702.02</v>
      </c>
      <c r="O19" s="354"/>
      <c r="P19" s="354"/>
      <c r="Q19" s="354"/>
      <c r="R19" s="354"/>
      <c r="S19" s="414"/>
      <c r="T19" s="13"/>
    </row>
    <row r="20" spans="1:20" ht="31.75" customHeight="1" x14ac:dyDescent="0.2">
      <c r="A20" s="20" t="s">
        <v>526</v>
      </c>
      <c r="B20" s="51" t="s">
        <v>79</v>
      </c>
      <c r="C20" s="51" t="s">
        <v>26</v>
      </c>
      <c r="D20" s="13" t="s">
        <v>532</v>
      </c>
      <c r="E20" s="420"/>
      <c r="F20" s="26" t="s">
        <v>36</v>
      </c>
      <c r="G20" s="26" t="s">
        <v>37</v>
      </c>
      <c r="H20" s="20">
        <v>10</v>
      </c>
      <c r="I20" s="28">
        <v>8859.31</v>
      </c>
      <c r="J20" s="26">
        <v>2</v>
      </c>
      <c r="K20" s="28">
        <f>I20*J20</f>
        <v>17718.62</v>
      </c>
      <c r="L20" s="28">
        <f>K20*9%</f>
        <v>1594.6757999999998</v>
      </c>
      <c r="M20" s="28">
        <v>800</v>
      </c>
      <c r="N20" s="30">
        <f>K20+L20+M20</f>
        <v>20113.2958</v>
      </c>
      <c r="O20" s="354"/>
      <c r="P20" s="354"/>
      <c r="Q20" s="354"/>
      <c r="R20" s="354"/>
      <c r="S20" s="414"/>
      <c r="T20" s="13"/>
    </row>
    <row r="21" spans="1:20" ht="31.75" customHeight="1" x14ac:dyDescent="0.2">
      <c r="A21" s="20" t="s">
        <v>526</v>
      </c>
      <c r="B21" s="51" t="s">
        <v>79</v>
      </c>
      <c r="C21" s="51" t="s">
        <v>26</v>
      </c>
      <c r="D21" s="13" t="s">
        <v>531</v>
      </c>
      <c r="E21" s="420"/>
      <c r="F21" s="26" t="s">
        <v>36</v>
      </c>
      <c r="G21" s="26" t="s">
        <v>37</v>
      </c>
      <c r="H21" s="20">
        <v>10</v>
      </c>
      <c r="I21" s="28">
        <v>550</v>
      </c>
      <c r="J21" s="26">
        <v>2</v>
      </c>
      <c r="K21" s="28">
        <f>I21*J21</f>
        <v>1100</v>
      </c>
      <c r="L21" s="28">
        <f>K21*9%</f>
        <v>99</v>
      </c>
      <c r="M21" s="28">
        <v>200</v>
      </c>
      <c r="N21" s="30">
        <f>K21+L21+M21</f>
        <v>1399</v>
      </c>
      <c r="O21" s="354"/>
      <c r="P21" s="354"/>
      <c r="Q21" s="354"/>
      <c r="R21" s="354"/>
      <c r="S21" s="414"/>
      <c r="T21" s="13"/>
    </row>
    <row r="22" spans="1:20" ht="31.75" customHeight="1" x14ac:dyDescent="0.2">
      <c r="A22" s="20" t="s">
        <v>526</v>
      </c>
      <c r="B22" s="51" t="s">
        <v>79</v>
      </c>
      <c r="C22" s="51" t="s">
        <v>26</v>
      </c>
      <c r="D22" s="13" t="s">
        <v>530</v>
      </c>
      <c r="E22" s="420"/>
      <c r="F22" s="26" t="s">
        <v>36</v>
      </c>
      <c r="G22" s="26" t="s">
        <v>37</v>
      </c>
      <c r="H22" s="20">
        <v>10</v>
      </c>
      <c r="I22" s="28">
        <v>12000</v>
      </c>
      <c r="J22" s="26">
        <v>2</v>
      </c>
      <c r="K22" s="28">
        <f>I22*J22</f>
        <v>24000</v>
      </c>
      <c r="L22" s="28">
        <f>K22*9%</f>
        <v>2160</v>
      </c>
      <c r="M22" s="28">
        <v>2000</v>
      </c>
      <c r="N22" s="30">
        <f>K22+L22+M22</f>
        <v>28160</v>
      </c>
      <c r="O22" s="354"/>
      <c r="P22" s="354"/>
      <c r="Q22" s="354"/>
      <c r="R22" s="354"/>
      <c r="S22" s="414"/>
      <c r="T22" s="13"/>
    </row>
    <row r="23" spans="1:20" ht="31.75" customHeight="1" x14ac:dyDescent="0.2">
      <c r="A23" s="20" t="s">
        <v>526</v>
      </c>
      <c r="B23" s="51" t="s">
        <v>79</v>
      </c>
      <c r="C23" s="51" t="s">
        <v>26</v>
      </c>
      <c r="D23" s="13" t="s">
        <v>529</v>
      </c>
      <c r="E23" s="420"/>
      <c r="F23" s="26" t="s">
        <v>36</v>
      </c>
      <c r="G23" s="26" t="s">
        <v>37</v>
      </c>
      <c r="H23" s="20">
        <v>10</v>
      </c>
      <c r="I23" s="28">
        <v>6500</v>
      </c>
      <c r="J23" s="26">
        <v>1</v>
      </c>
      <c r="K23" s="28">
        <f>I23*J23</f>
        <v>6500</v>
      </c>
      <c r="L23" s="28">
        <f>K23*9%</f>
        <v>585</v>
      </c>
      <c r="M23" s="28">
        <v>600</v>
      </c>
      <c r="N23" s="30">
        <f>K23+L23+M23</f>
        <v>7685</v>
      </c>
      <c r="O23" s="354"/>
      <c r="P23" s="354"/>
      <c r="Q23" s="354"/>
      <c r="R23" s="354"/>
      <c r="S23" s="355"/>
      <c r="T23" s="13"/>
    </row>
    <row r="24" spans="1:20" ht="31.75" customHeight="1" x14ac:dyDescent="0.2">
      <c r="A24" s="20" t="s">
        <v>526</v>
      </c>
      <c r="B24" s="51" t="s">
        <v>79</v>
      </c>
      <c r="C24" s="51" t="s">
        <v>26</v>
      </c>
      <c r="D24" s="13" t="s">
        <v>528</v>
      </c>
      <c r="E24" s="420"/>
      <c r="F24" s="26" t="s">
        <v>29</v>
      </c>
      <c r="G24" s="26" t="s">
        <v>37</v>
      </c>
      <c r="H24" s="20">
        <v>20</v>
      </c>
      <c r="I24" s="28">
        <v>61588.78</v>
      </c>
      <c r="J24" s="26">
        <v>1</v>
      </c>
      <c r="K24" s="28">
        <f>I24*J24</f>
        <v>61588.78</v>
      </c>
      <c r="L24" s="28">
        <f>K24*9%</f>
        <v>5542.9901999999993</v>
      </c>
      <c r="M24" s="28">
        <v>5000</v>
      </c>
      <c r="N24" s="30">
        <f>K24+L24+M24</f>
        <v>72131.770199999999</v>
      </c>
      <c r="O24" s="354"/>
      <c r="P24" s="354"/>
      <c r="Q24" s="354"/>
      <c r="R24" s="354"/>
      <c r="S24" s="355"/>
      <c r="T24" s="13"/>
    </row>
    <row r="25" spans="1:20" ht="31.75" customHeight="1" x14ac:dyDescent="0.2">
      <c r="A25" s="20" t="s">
        <v>526</v>
      </c>
      <c r="B25" s="413" t="s">
        <v>79</v>
      </c>
      <c r="C25" s="413" t="s">
        <v>26</v>
      </c>
      <c r="D25" s="418" t="s">
        <v>527</v>
      </c>
      <c r="E25" s="420"/>
      <c r="F25" s="25" t="s">
        <v>36</v>
      </c>
      <c r="G25" s="25" t="s">
        <v>37</v>
      </c>
      <c r="H25" s="116">
        <v>10</v>
      </c>
      <c r="I25" s="423">
        <v>1396.67</v>
      </c>
      <c r="J25" s="25">
        <v>1</v>
      </c>
      <c r="K25" s="423">
        <v>1396.67</v>
      </c>
      <c r="L25" s="423">
        <v>125.7</v>
      </c>
      <c r="M25" s="423">
        <v>400</v>
      </c>
      <c r="N25" s="424">
        <v>1922.37</v>
      </c>
      <c r="O25" s="354"/>
      <c r="P25" s="354"/>
      <c r="Q25" s="354"/>
      <c r="R25" s="354"/>
      <c r="S25" s="355"/>
      <c r="T25" s="13"/>
    </row>
    <row r="26" spans="1:20" ht="31.75" customHeight="1" x14ac:dyDescent="0.2">
      <c r="A26" s="20" t="s">
        <v>526</v>
      </c>
      <c r="B26" s="51" t="s">
        <v>79</v>
      </c>
      <c r="C26" s="51" t="s">
        <v>26</v>
      </c>
      <c r="D26" s="13" t="s">
        <v>525</v>
      </c>
      <c r="E26" s="420"/>
      <c r="F26" s="26" t="s">
        <v>36</v>
      </c>
      <c r="G26" s="26" t="s">
        <v>37</v>
      </c>
      <c r="H26" s="20">
        <v>10</v>
      </c>
      <c r="I26" s="28">
        <v>5000</v>
      </c>
      <c r="J26" s="26">
        <v>1</v>
      </c>
      <c r="K26" s="28">
        <f>I26*J26</f>
        <v>5000</v>
      </c>
      <c r="L26" s="28">
        <f>K26*9%</f>
        <v>450</v>
      </c>
      <c r="M26" s="28">
        <v>500</v>
      </c>
      <c r="N26" s="30">
        <f>K26+L26+M26</f>
        <v>5950</v>
      </c>
      <c r="O26" s="354"/>
      <c r="P26" s="354"/>
      <c r="Q26" s="354"/>
      <c r="R26" s="354"/>
      <c r="S26" s="355"/>
      <c r="T26" s="13"/>
    </row>
    <row r="27" spans="1:20" ht="31.75" customHeight="1" x14ac:dyDescent="0.2">
      <c r="A27" s="425" t="s">
        <v>279</v>
      </c>
      <c r="B27" s="425"/>
      <c r="C27" s="425"/>
      <c r="D27" s="425"/>
      <c r="E27" s="425"/>
      <c r="F27" s="425"/>
      <c r="G27" s="425"/>
      <c r="H27" s="425"/>
      <c r="I27" s="425"/>
      <c r="J27" s="425"/>
      <c r="K27" s="425"/>
      <c r="L27" s="425"/>
      <c r="M27" s="425"/>
      <c r="N27" s="426">
        <f>SUM(N6:N26)</f>
        <v>182239.86539999998</v>
      </c>
      <c r="O27" s="412"/>
      <c r="P27" s="412"/>
      <c r="Q27" s="412"/>
      <c r="R27" s="412"/>
      <c r="S27" s="411"/>
      <c r="T27" s="212"/>
    </row>
    <row r="28" spans="1:20" ht="102" x14ac:dyDescent="0.2">
      <c r="A28" s="322" t="s">
        <v>387</v>
      </c>
      <c r="B28" s="325" t="s">
        <v>48</v>
      </c>
      <c r="C28" s="325" t="s">
        <v>26</v>
      </c>
      <c r="D28" s="323" t="s">
        <v>503</v>
      </c>
      <c r="E28" s="323" t="s">
        <v>384</v>
      </c>
      <c r="F28" s="321" t="s">
        <v>36</v>
      </c>
      <c r="G28" s="321" t="s">
        <v>30</v>
      </c>
      <c r="H28" s="321" t="s">
        <v>413</v>
      </c>
      <c r="I28" s="320"/>
      <c r="J28" s="322"/>
      <c r="K28" s="320">
        <v>6000</v>
      </c>
      <c r="L28" s="319">
        <f>K28*0.09</f>
        <v>540</v>
      </c>
      <c r="M28" s="319">
        <f>K28*0.02</f>
        <v>120</v>
      </c>
      <c r="N28" s="367">
        <f>SUM(K28:M28)</f>
        <v>6660</v>
      </c>
      <c r="O28" s="410" t="s">
        <v>278</v>
      </c>
      <c r="P28" s="321"/>
      <c r="Q28" s="321" t="s">
        <v>31</v>
      </c>
      <c r="R28" s="321" t="s">
        <v>31</v>
      </c>
      <c r="S28" s="409"/>
      <c r="T28" s="13"/>
    </row>
    <row r="29" spans="1:20" ht="85" x14ac:dyDescent="0.2">
      <c r="A29" s="322" t="s">
        <v>387</v>
      </c>
      <c r="B29" s="325" t="s">
        <v>48</v>
      </c>
      <c r="C29" s="325" t="s">
        <v>502</v>
      </c>
      <c r="D29" s="323" t="s">
        <v>501</v>
      </c>
      <c r="E29" s="323" t="s">
        <v>384</v>
      </c>
      <c r="F29" s="321" t="s">
        <v>36</v>
      </c>
      <c r="G29" s="321" t="s">
        <v>30</v>
      </c>
      <c r="H29" s="321" t="s">
        <v>413</v>
      </c>
      <c r="I29" s="320"/>
      <c r="J29" s="322"/>
      <c r="K29" s="320">
        <v>2000</v>
      </c>
      <c r="L29" s="319">
        <f>K29*0.09</f>
        <v>180</v>
      </c>
      <c r="M29" s="319">
        <v>0</v>
      </c>
      <c r="N29" s="367">
        <f>SUM(K29:M29)</f>
        <v>2180</v>
      </c>
      <c r="O29" s="397"/>
      <c r="P29" s="397"/>
      <c r="Q29" s="286" t="s">
        <v>31</v>
      </c>
      <c r="R29" s="286" t="s">
        <v>31</v>
      </c>
      <c r="S29" s="397"/>
      <c r="T29" s="285"/>
    </row>
    <row r="30" spans="1:20" ht="51" x14ac:dyDescent="0.2">
      <c r="A30" s="322" t="s">
        <v>387</v>
      </c>
      <c r="B30" s="325" t="s">
        <v>48</v>
      </c>
      <c r="C30" s="325" t="s">
        <v>26</v>
      </c>
      <c r="D30" s="323" t="s">
        <v>500</v>
      </c>
      <c r="E30" s="323" t="s">
        <v>384</v>
      </c>
      <c r="F30" s="321" t="s">
        <v>36</v>
      </c>
      <c r="G30" s="321" t="s">
        <v>30</v>
      </c>
      <c r="H30" s="321" t="s">
        <v>413</v>
      </c>
      <c r="I30" s="320"/>
      <c r="J30" s="322"/>
      <c r="K30" s="320">
        <v>1500</v>
      </c>
      <c r="L30" s="319">
        <f>K30*0.09</f>
        <v>135</v>
      </c>
      <c r="M30" s="319">
        <f>K30*0.02</f>
        <v>30</v>
      </c>
      <c r="N30" s="367">
        <f>SUM(K30:M30)</f>
        <v>1665</v>
      </c>
      <c r="O30" s="397"/>
      <c r="P30" s="397"/>
      <c r="Q30" s="286" t="s">
        <v>31</v>
      </c>
      <c r="R30" s="286" t="s">
        <v>31</v>
      </c>
      <c r="S30" s="397"/>
      <c r="T30" s="285"/>
    </row>
    <row r="31" spans="1:20" ht="51" x14ac:dyDescent="0.2">
      <c r="A31" s="322" t="s">
        <v>387</v>
      </c>
      <c r="B31" s="325" t="s">
        <v>48</v>
      </c>
      <c r="C31" s="325" t="s">
        <v>26</v>
      </c>
      <c r="D31" s="323" t="s">
        <v>498</v>
      </c>
      <c r="E31" s="323" t="s">
        <v>384</v>
      </c>
      <c r="F31" s="321" t="s">
        <v>36</v>
      </c>
      <c r="G31" s="321" t="s">
        <v>30</v>
      </c>
      <c r="H31" s="321" t="s">
        <v>497</v>
      </c>
      <c r="I31" s="320"/>
      <c r="J31" s="322"/>
      <c r="K31" s="320">
        <v>1000</v>
      </c>
      <c r="L31" s="319">
        <f>K31*0.09</f>
        <v>90</v>
      </c>
      <c r="M31" s="319">
        <f>K31*0.02</f>
        <v>20</v>
      </c>
      <c r="N31" s="367">
        <f>SUM(K31:M31)</f>
        <v>1110</v>
      </c>
      <c r="O31" s="397"/>
      <c r="P31" s="397"/>
      <c r="Q31" s="286" t="s">
        <v>31</v>
      </c>
      <c r="R31" s="286" t="s">
        <v>31</v>
      </c>
      <c r="S31" s="397"/>
      <c r="T31" s="285"/>
    </row>
    <row r="32" spans="1:20" ht="51" x14ac:dyDescent="0.2">
      <c r="A32" s="322" t="s">
        <v>387</v>
      </c>
      <c r="B32" s="325" t="s">
        <v>25</v>
      </c>
      <c r="C32" s="325" t="s">
        <v>26</v>
      </c>
      <c r="D32" s="323" t="s">
        <v>496</v>
      </c>
      <c r="E32" s="323" t="s">
        <v>384</v>
      </c>
      <c r="F32" s="321" t="s">
        <v>36</v>
      </c>
      <c r="G32" s="321" t="s">
        <v>30</v>
      </c>
      <c r="H32" s="321" t="s">
        <v>365</v>
      </c>
      <c r="I32" s="320"/>
      <c r="J32" s="322"/>
      <c r="K32" s="320">
        <v>1250</v>
      </c>
      <c r="L32" s="319">
        <f>K32*0.09</f>
        <v>112.5</v>
      </c>
      <c r="M32" s="319">
        <f>K32*0.02</f>
        <v>25</v>
      </c>
      <c r="N32" s="367">
        <f>SUM(K32:M32)</f>
        <v>1387.5</v>
      </c>
      <c r="O32" s="397"/>
      <c r="P32" s="397"/>
      <c r="Q32" s="286" t="s">
        <v>31</v>
      </c>
      <c r="R32" s="286" t="s">
        <v>31</v>
      </c>
      <c r="S32" s="397"/>
      <c r="T32" s="285"/>
    </row>
    <row r="33" spans="1:20" s="460" customFormat="1" ht="51" x14ac:dyDescent="0.2">
      <c r="A33" s="448" t="s">
        <v>387</v>
      </c>
      <c r="B33" s="449" t="s">
        <v>48</v>
      </c>
      <c r="C33" s="449" t="s">
        <v>386</v>
      </c>
      <c r="D33" s="450" t="s">
        <v>385</v>
      </c>
      <c r="E33" s="451" t="s">
        <v>384</v>
      </c>
      <c r="F33" s="452" t="s">
        <v>36</v>
      </c>
      <c r="G33" s="452" t="s">
        <v>30</v>
      </c>
      <c r="H33" s="448" t="s">
        <v>121</v>
      </c>
      <c r="I33" s="453"/>
      <c r="J33" s="452"/>
      <c r="K33" s="453">
        <v>1500</v>
      </c>
      <c r="L33" s="454">
        <v>0</v>
      </c>
      <c r="M33" s="454">
        <v>0</v>
      </c>
      <c r="N33" s="455">
        <f>SUM(K33:M33)</f>
        <v>1500</v>
      </c>
      <c r="O33" s="447"/>
      <c r="P33" s="447"/>
      <c r="Q33" s="447" t="s">
        <v>31</v>
      </c>
      <c r="R33" s="447" t="s">
        <v>31</v>
      </c>
      <c r="S33" s="447"/>
      <c r="T33" s="447"/>
    </row>
    <row r="34" spans="1:20" ht="25" customHeight="1" x14ac:dyDescent="0.2">
      <c r="A34" s="425" t="s">
        <v>279</v>
      </c>
      <c r="B34" s="425"/>
      <c r="C34" s="425"/>
      <c r="D34" s="425"/>
      <c r="E34" s="425"/>
      <c r="F34" s="425"/>
      <c r="G34" s="425"/>
      <c r="H34" s="425"/>
      <c r="I34" s="425"/>
      <c r="J34" s="425"/>
      <c r="K34" s="425"/>
      <c r="L34" s="425"/>
      <c r="M34" s="425"/>
      <c r="N34" s="427">
        <f>SUM(N28:N32)</f>
        <v>13002.5</v>
      </c>
      <c r="O34" s="397"/>
      <c r="P34" s="397"/>
      <c r="Q34" s="397"/>
      <c r="R34" s="397"/>
      <c r="S34" s="397"/>
      <c r="T34" s="285"/>
    </row>
    <row r="35" spans="1:20" ht="32" customHeight="1" x14ac:dyDescent="0.2">
      <c r="A35" s="322" t="s">
        <v>377</v>
      </c>
      <c r="B35" s="325" t="s">
        <v>25</v>
      </c>
      <c r="C35" s="325" t="s">
        <v>26</v>
      </c>
      <c r="D35" s="323" t="s">
        <v>495</v>
      </c>
      <c r="E35" s="461" t="s">
        <v>378</v>
      </c>
      <c r="F35" s="321" t="s">
        <v>36</v>
      </c>
      <c r="G35" s="321" t="s">
        <v>124</v>
      </c>
      <c r="H35" s="321">
        <v>10</v>
      </c>
      <c r="I35" s="320">
        <v>4000</v>
      </c>
      <c r="J35" s="322">
        <v>1</v>
      </c>
      <c r="K35" s="320">
        <v>4000</v>
      </c>
      <c r="L35" s="320">
        <v>360</v>
      </c>
      <c r="M35" s="320">
        <v>200</v>
      </c>
      <c r="N35" s="339">
        <v>4560</v>
      </c>
      <c r="O35" s="397"/>
      <c r="P35" s="397"/>
      <c r="Q35" s="286" t="s">
        <v>31</v>
      </c>
      <c r="R35" s="286" t="s">
        <v>31</v>
      </c>
      <c r="S35" s="397"/>
      <c r="T35" s="285"/>
    </row>
    <row r="36" spans="1:20" ht="34" customHeight="1" x14ac:dyDescent="0.2">
      <c r="A36" s="322" t="s">
        <v>377</v>
      </c>
      <c r="B36" s="325" t="s">
        <v>25</v>
      </c>
      <c r="C36" s="325" t="s">
        <v>26</v>
      </c>
      <c r="D36" s="323" t="s">
        <v>492</v>
      </c>
      <c r="E36" s="366"/>
      <c r="F36" s="321" t="s">
        <v>36</v>
      </c>
      <c r="G36" s="321" t="s">
        <v>220</v>
      </c>
      <c r="H36" s="321"/>
      <c r="I36" s="320">
        <v>8000</v>
      </c>
      <c r="J36" s="322"/>
      <c r="K36" s="320">
        <v>8000</v>
      </c>
      <c r="L36" s="320">
        <v>720</v>
      </c>
      <c r="M36" s="320">
        <v>250</v>
      </c>
      <c r="N36" s="339">
        <v>8970</v>
      </c>
      <c r="O36" s="397"/>
      <c r="P36" s="397"/>
      <c r="Q36" s="286" t="s">
        <v>31</v>
      </c>
      <c r="R36" s="286" t="s">
        <v>31</v>
      </c>
      <c r="S36" s="397"/>
      <c r="T36" s="285"/>
    </row>
    <row r="37" spans="1:20" ht="34" customHeight="1" x14ac:dyDescent="0.2">
      <c r="A37" s="322" t="s">
        <v>491</v>
      </c>
      <c r="B37" s="325" t="s">
        <v>25</v>
      </c>
      <c r="C37" s="325" t="s">
        <v>26</v>
      </c>
      <c r="D37" s="324" t="s">
        <v>490</v>
      </c>
      <c r="E37" s="366"/>
      <c r="F37" s="321" t="s">
        <v>36</v>
      </c>
      <c r="G37" s="321" t="s">
        <v>124</v>
      </c>
      <c r="H37" s="322">
        <v>10</v>
      </c>
      <c r="I37" s="320">
        <v>400</v>
      </c>
      <c r="J37" s="321">
        <v>2</v>
      </c>
      <c r="K37" s="320">
        <v>800</v>
      </c>
      <c r="L37" s="320">
        <v>72</v>
      </c>
      <c r="M37" s="320">
        <v>50</v>
      </c>
      <c r="N37" s="339">
        <v>922</v>
      </c>
      <c r="O37" s="397"/>
      <c r="P37" s="397"/>
      <c r="Q37" s="286" t="s">
        <v>31</v>
      </c>
      <c r="R37" s="286" t="s">
        <v>31</v>
      </c>
      <c r="S37" s="397"/>
      <c r="T37" s="285"/>
    </row>
    <row r="38" spans="1:20" ht="17" x14ac:dyDescent="0.2">
      <c r="A38" s="322" t="s">
        <v>377</v>
      </c>
      <c r="B38" s="325" t="s">
        <v>25</v>
      </c>
      <c r="C38" s="325" t="s">
        <v>26</v>
      </c>
      <c r="D38" s="324" t="s">
        <v>489</v>
      </c>
      <c r="E38" s="366"/>
      <c r="F38" s="321" t="s">
        <v>36</v>
      </c>
      <c r="G38" s="321" t="s">
        <v>124</v>
      </c>
      <c r="H38" s="322">
        <v>10</v>
      </c>
      <c r="I38" s="320">
        <v>900</v>
      </c>
      <c r="J38" s="321">
        <v>2</v>
      </c>
      <c r="K38" s="320">
        <v>1800</v>
      </c>
      <c r="L38" s="320">
        <v>162</v>
      </c>
      <c r="M38" s="320">
        <v>60</v>
      </c>
      <c r="N38" s="339">
        <v>2022</v>
      </c>
      <c r="O38" s="397"/>
      <c r="P38" s="397"/>
      <c r="Q38" s="286" t="s">
        <v>31</v>
      </c>
      <c r="R38" s="286" t="s">
        <v>31</v>
      </c>
      <c r="S38" s="397"/>
      <c r="T38" s="285"/>
    </row>
    <row r="39" spans="1:20" ht="17" x14ac:dyDescent="0.2">
      <c r="A39" s="322" t="s">
        <v>377</v>
      </c>
      <c r="B39" s="325" t="s">
        <v>25</v>
      </c>
      <c r="C39" s="325" t="s">
        <v>26</v>
      </c>
      <c r="D39" s="324" t="s">
        <v>524</v>
      </c>
      <c r="E39" s="366"/>
      <c r="F39" s="321" t="s">
        <v>36</v>
      </c>
      <c r="G39" s="321" t="s">
        <v>37</v>
      </c>
      <c r="H39" s="322">
        <v>10</v>
      </c>
      <c r="I39" s="320">
        <v>400</v>
      </c>
      <c r="J39" s="321">
        <v>1</v>
      </c>
      <c r="K39" s="320">
        <v>400</v>
      </c>
      <c r="L39" s="320">
        <v>36</v>
      </c>
      <c r="M39" s="320">
        <v>40</v>
      </c>
      <c r="N39" s="339">
        <v>476</v>
      </c>
      <c r="O39" s="397"/>
      <c r="P39" s="397"/>
      <c r="Q39" s="286" t="s">
        <v>31</v>
      </c>
      <c r="R39" s="286" t="s">
        <v>31</v>
      </c>
      <c r="S39" s="397"/>
      <c r="T39" s="285"/>
    </row>
    <row r="40" spans="1:20" ht="17" x14ac:dyDescent="0.2">
      <c r="A40" s="322" t="s">
        <v>377</v>
      </c>
      <c r="B40" s="325" t="s">
        <v>215</v>
      </c>
      <c r="C40" s="325" t="s">
        <v>26</v>
      </c>
      <c r="D40" s="324" t="s">
        <v>488</v>
      </c>
      <c r="E40" s="366"/>
      <c r="F40" s="321" t="s">
        <v>36</v>
      </c>
      <c r="G40" s="321" t="s">
        <v>124</v>
      </c>
      <c r="H40" s="322">
        <v>10</v>
      </c>
      <c r="I40" s="320">
        <v>2500</v>
      </c>
      <c r="J40" s="321">
        <v>1</v>
      </c>
      <c r="K40" s="320">
        <v>2500</v>
      </c>
      <c r="L40" s="320">
        <v>225</v>
      </c>
      <c r="M40" s="320">
        <v>80</v>
      </c>
      <c r="N40" s="339">
        <v>2805</v>
      </c>
      <c r="O40" s="397"/>
      <c r="P40" s="397"/>
      <c r="Q40" s="286" t="s">
        <v>31</v>
      </c>
      <c r="R40" s="286" t="s">
        <v>31</v>
      </c>
      <c r="S40" s="397"/>
      <c r="T40" s="285"/>
    </row>
    <row r="41" spans="1:20" ht="17" x14ac:dyDescent="0.2">
      <c r="A41" s="322" t="s">
        <v>377</v>
      </c>
      <c r="B41" s="325" t="s">
        <v>215</v>
      </c>
      <c r="C41" s="325" t="s">
        <v>26</v>
      </c>
      <c r="D41" s="324" t="s">
        <v>523</v>
      </c>
      <c r="E41" s="366"/>
      <c r="F41" s="321" t="s">
        <v>36</v>
      </c>
      <c r="G41" s="321" t="s">
        <v>124</v>
      </c>
      <c r="H41" s="322">
        <v>10</v>
      </c>
      <c r="I41" s="320">
        <v>35</v>
      </c>
      <c r="J41" s="321">
        <v>20</v>
      </c>
      <c r="K41" s="320">
        <v>700</v>
      </c>
      <c r="L41" s="320">
        <v>63</v>
      </c>
      <c r="M41" s="320">
        <v>40</v>
      </c>
      <c r="N41" s="339">
        <v>803</v>
      </c>
      <c r="O41" s="397"/>
      <c r="P41" s="397"/>
      <c r="Q41" s="286" t="s">
        <v>31</v>
      </c>
      <c r="R41" s="286" t="s">
        <v>31</v>
      </c>
      <c r="S41" s="397"/>
      <c r="T41" s="285"/>
    </row>
    <row r="42" spans="1:20" ht="17" x14ac:dyDescent="0.2">
      <c r="A42" s="322" t="s">
        <v>377</v>
      </c>
      <c r="B42" s="325" t="s">
        <v>215</v>
      </c>
      <c r="C42" s="325" t="s">
        <v>26</v>
      </c>
      <c r="D42" s="324" t="s">
        <v>487</v>
      </c>
      <c r="E42" s="366"/>
      <c r="F42" s="321" t="s">
        <v>36</v>
      </c>
      <c r="G42" s="321" t="s">
        <v>124</v>
      </c>
      <c r="H42" s="322">
        <v>10</v>
      </c>
      <c r="I42" s="320">
        <v>45</v>
      </c>
      <c r="J42" s="321">
        <v>10</v>
      </c>
      <c r="K42" s="320">
        <v>450</v>
      </c>
      <c r="L42" s="320">
        <v>40.5</v>
      </c>
      <c r="M42" s="320">
        <v>20</v>
      </c>
      <c r="N42" s="339">
        <v>510.5</v>
      </c>
      <c r="O42" s="397"/>
      <c r="P42" s="397"/>
      <c r="Q42" s="397"/>
      <c r="R42" s="397"/>
      <c r="S42" s="397"/>
      <c r="T42" s="285"/>
    </row>
    <row r="43" spans="1:20" ht="17" x14ac:dyDescent="0.2">
      <c r="A43" s="322" t="s">
        <v>377</v>
      </c>
      <c r="B43" s="325" t="s">
        <v>215</v>
      </c>
      <c r="C43" s="325" t="s">
        <v>26</v>
      </c>
      <c r="D43" s="324" t="s">
        <v>486</v>
      </c>
      <c r="E43" s="366"/>
      <c r="F43" s="321" t="s">
        <v>36</v>
      </c>
      <c r="G43" s="321" t="s">
        <v>124</v>
      </c>
      <c r="H43" s="322">
        <v>10</v>
      </c>
      <c r="I43" s="320">
        <v>600</v>
      </c>
      <c r="J43" s="321">
        <v>1</v>
      </c>
      <c r="K43" s="320">
        <v>600</v>
      </c>
      <c r="L43" s="320">
        <v>54</v>
      </c>
      <c r="M43" s="320">
        <v>30</v>
      </c>
      <c r="N43" s="339">
        <v>684</v>
      </c>
      <c r="O43" s="397"/>
      <c r="P43" s="397"/>
      <c r="Q43" s="286" t="s">
        <v>31</v>
      </c>
      <c r="R43" s="286" t="s">
        <v>31</v>
      </c>
      <c r="S43" s="397"/>
      <c r="T43" s="285"/>
    </row>
    <row r="44" spans="1:20" customFormat="1" ht="33" customHeight="1" x14ac:dyDescent="0.2">
      <c r="A44" s="322" t="s">
        <v>377</v>
      </c>
      <c r="B44" s="325" t="s">
        <v>25</v>
      </c>
      <c r="C44" s="325" t="s">
        <v>108</v>
      </c>
      <c r="D44" s="323" t="s">
        <v>494</v>
      </c>
      <c r="E44" s="366"/>
      <c r="F44" s="321" t="s">
        <v>36</v>
      </c>
      <c r="G44" s="321" t="s">
        <v>220</v>
      </c>
      <c r="H44" s="321"/>
      <c r="I44" s="320">
        <v>12960</v>
      </c>
      <c r="J44" s="322">
        <v>3</v>
      </c>
      <c r="K44" s="320">
        <v>38880</v>
      </c>
      <c r="L44" s="320">
        <v>2916</v>
      </c>
      <c r="M44" s="320"/>
      <c r="N44" s="339">
        <v>41796</v>
      </c>
      <c r="O44" s="272"/>
      <c r="P44" s="272"/>
      <c r="Q44" s="272" t="s">
        <v>31</v>
      </c>
      <c r="R44" s="272" t="s">
        <v>31</v>
      </c>
      <c r="S44" s="272"/>
      <c r="T44" s="272"/>
    </row>
    <row r="45" spans="1:20" customFormat="1" ht="34" x14ac:dyDescent="0.2">
      <c r="A45" s="322" t="s">
        <v>377</v>
      </c>
      <c r="B45" s="325" t="s">
        <v>25</v>
      </c>
      <c r="C45" s="325" t="s">
        <v>108</v>
      </c>
      <c r="D45" s="323" t="s">
        <v>412</v>
      </c>
      <c r="E45" s="366"/>
      <c r="F45" s="321" t="s">
        <v>36</v>
      </c>
      <c r="G45" s="321" t="s">
        <v>220</v>
      </c>
      <c r="H45" s="321"/>
      <c r="I45" s="320">
        <v>10800</v>
      </c>
      <c r="J45" s="322">
        <v>4</v>
      </c>
      <c r="K45" s="320">
        <v>43200</v>
      </c>
      <c r="L45" s="320">
        <v>3888</v>
      </c>
      <c r="M45" s="320"/>
      <c r="N45" s="339">
        <v>47088</v>
      </c>
      <c r="O45" s="272"/>
      <c r="P45" s="272"/>
      <c r="Q45" s="272" t="s">
        <v>31</v>
      </c>
      <c r="R45" s="272" t="s">
        <v>31</v>
      </c>
      <c r="S45" s="272"/>
      <c r="T45" s="272"/>
    </row>
    <row r="46" spans="1:20" customFormat="1" ht="17" x14ac:dyDescent="0.2">
      <c r="A46" s="322" t="s">
        <v>377</v>
      </c>
      <c r="B46" s="325" t="s">
        <v>25</v>
      </c>
      <c r="C46" s="325" t="s">
        <v>108</v>
      </c>
      <c r="D46" s="323" t="s">
        <v>493</v>
      </c>
      <c r="E46" s="462"/>
      <c r="F46" s="321" t="s">
        <v>36</v>
      </c>
      <c r="G46" s="321" t="s">
        <v>220</v>
      </c>
      <c r="H46" s="321"/>
      <c r="I46" s="320">
        <v>4000</v>
      </c>
      <c r="J46" s="322">
        <v>1</v>
      </c>
      <c r="K46" s="320">
        <v>4000</v>
      </c>
      <c r="L46" s="320">
        <v>360</v>
      </c>
      <c r="M46" s="320"/>
      <c r="N46" s="339">
        <v>4360</v>
      </c>
      <c r="O46" s="272"/>
      <c r="P46" s="272"/>
      <c r="Q46" s="272" t="s">
        <v>31</v>
      </c>
      <c r="R46" s="272" t="s">
        <v>31</v>
      </c>
      <c r="S46" s="272"/>
      <c r="T46" s="272"/>
    </row>
    <row r="47" spans="1:20" customFormat="1" ht="256" customHeight="1" x14ac:dyDescent="0.2">
      <c r="A47" s="443" t="s">
        <v>377</v>
      </c>
      <c r="B47" s="313" t="s">
        <v>215</v>
      </c>
      <c r="C47" s="313" t="s">
        <v>376</v>
      </c>
      <c r="D47" s="312" t="s">
        <v>375</v>
      </c>
      <c r="E47" s="444" t="s">
        <v>378</v>
      </c>
      <c r="F47" s="311" t="s">
        <v>29</v>
      </c>
      <c r="G47" s="311" t="s">
        <v>30</v>
      </c>
      <c r="H47" s="310" t="s">
        <v>220</v>
      </c>
      <c r="I47" s="309">
        <v>150000</v>
      </c>
      <c r="J47" s="308">
        <v>1</v>
      </c>
      <c r="K47" s="307">
        <f>I47*J47</f>
        <v>150000</v>
      </c>
      <c r="L47" s="307">
        <f>K47*0.09</f>
        <v>13500</v>
      </c>
      <c r="M47" s="306" t="s">
        <v>220</v>
      </c>
      <c r="N47" s="305">
        <f>SUM(K47:L47)</f>
        <v>163500</v>
      </c>
      <c r="O47" s="272"/>
      <c r="P47" s="272"/>
      <c r="Q47" s="272"/>
      <c r="R47" s="272"/>
      <c r="S47" s="272"/>
      <c r="T47" s="272"/>
    </row>
    <row r="48" spans="1:20" customFormat="1" ht="17" x14ac:dyDescent="0.2">
      <c r="A48" s="443" t="s">
        <v>377</v>
      </c>
      <c r="B48" s="310" t="s">
        <v>215</v>
      </c>
      <c r="C48" s="310" t="s">
        <v>372</v>
      </c>
      <c r="D48" s="318" t="s">
        <v>371</v>
      </c>
      <c r="E48" s="444"/>
      <c r="F48" s="310" t="s">
        <v>212</v>
      </c>
      <c r="G48" s="310" t="s">
        <v>30</v>
      </c>
      <c r="H48" s="310" t="s">
        <v>220</v>
      </c>
      <c r="I48" s="310">
        <v>500</v>
      </c>
      <c r="J48" s="310">
        <v>3</v>
      </c>
      <c r="K48" s="317">
        <f>(I48*J48)</f>
        <v>1500</v>
      </c>
      <c r="L48" s="316">
        <f>(K48*0.9)</f>
        <v>1350</v>
      </c>
      <c r="M48" s="310" t="s">
        <v>220</v>
      </c>
      <c r="N48" s="315">
        <f>SUM(K48:L48)</f>
        <v>2850</v>
      </c>
      <c r="O48" s="272"/>
      <c r="P48" s="272"/>
      <c r="Q48" s="272"/>
      <c r="R48" s="272"/>
      <c r="S48" s="272"/>
      <c r="T48" s="272"/>
    </row>
    <row r="49" spans="1:20" ht="26" customHeight="1" x14ac:dyDescent="0.2">
      <c r="A49" s="429" t="s">
        <v>522</v>
      </c>
      <c r="B49" s="429"/>
      <c r="C49" s="429"/>
      <c r="D49" s="429"/>
      <c r="E49" s="429"/>
      <c r="F49" s="429"/>
      <c r="G49" s="429"/>
      <c r="H49" s="429"/>
      <c r="I49" s="429"/>
      <c r="J49" s="429"/>
      <c r="K49" s="429"/>
      <c r="L49" s="429"/>
      <c r="M49" s="429"/>
      <c r="N49" s="427">
        <f>SUM(N35:N43)</f>
        <v>21752.5</v>
      </c>
      <c r="O49" s="397"/>
      <c r="P49" s="397"/>
      <c r="Q49" s="397"/>
      <c r="R49" s="397"/>
      <c r="S49" s="397"/>
      <c r="T49" s="285"/>
    </row>
    <row r="50" spans="1:20" ht="142" customHeight="1" x14ac:dyDescent="0.2">
      <c r="A50" s="397" t="s">
        <v>400</v>
      </c>
      <c r="B50" s="430" t="s">
        <v>521</v>
      </c>
      <c r="C50" s="430"/>
      <c r="D50" s="430"/>
      <c r="E50" s="430"/>
      <c r="F50" s="430"/>
      <c r="G50" s="430"/>
      <c r="H50" s="430"/>
      <c r="I50" s="430"/>
      <c r="J50" s="430"/>
      <c r="K50" s="430"/>
      <c r="L50" s="430"/>
      <c r="M50" s="430"/>
      <c r="N50" s="430"/>
      <c r="O50" s="397"/>
      <c r="P50" s="397"/>
      <c r="Q50" s="397"/>
      <c r="R50" s="397"/>
      <c r="S50" s="397"/>
      <c r="T50" s="285"/>
    </row>
    <row r="51" spans="1:20" ht="68" x14ac:dyDescent="0.2">
      <c r="A51" s="342" t="s">
        <v>373</v>
      </c>
      <c r="B51" s="342" t="s">
        <v>25</v>
      </c>
      <c r="C51" s="345" t="s">
        <v>483</v>
      </c>
      <c r="D51" s="344" t="s">
        <v>485</v>
      </c>
      <c r="E51" s="344" t="s">
        <v>484</v>
      </c>
      <c r="F51" s="343" t="s">
        <v>212</v>
      </c>
      <c r="G51" s="343" t="s">
        <v>220</v>
      </c>
      <c r="H51" s="348" t="s">
        <v>476</v>
      </c>
      <c r="I51" s="347">
        <v>3000</v>
      </c>
      <c r="J51" s="341">
        <v>1</v>
      </c>
      <c r="K51" s="398">
        <f>I51*J51</f>
        <v>3000</v>
      </c>
      <c r="L51" s="398">
        <f>K51*0.09</f>
        <v>270</v>
      </c>
      <c r="M51" s="406" t="s">
        <v>220</v>
      </c>
      <c r="N51" s="340">
        <f>SUM(K51:L51)</f>
        <v>3270</v>
      </c>
      <c r="O51" s="397"/>
      <c r="P51" s="397"/>
      <c r="Q51" s="397"/>
      <c r="R51" s="397"/>
      <c r="S51" s="397"/>
      <c r="T51" s="285"/>
    </row>
    <row r="52" spans="1:20" ht="68" x14ac:dyDescent="0.2">
      <c r="A52" s="403" t="s">
        <v>400</v>
      </c>
      <c r="B52" s="402" t="s">
        <v>215</v>
      </c>
      <c r="C52" s="402" t="s">
        <v>483</v>
      </c>
      <c r="D52" s="401" t="s">
        <v>482</v>
      </c>
      <c r="E52" s="401" t="s">
        <v>481</v>
      </c>
      <c r="F52" s="400" t="s">
        <v>212</v>
      </c>
      <c r="G52" s="400" t="s">
        <v>30</v>
      </c>
      <c r="H52" s="365">
        <v>5</v>
      </c>
      <c r="I52" s="399">
        <v>5000</v>
      </c>
      <c r="J52" s="341">
        <v>1</v>
      </c>
      <c r="K52" s="398">
        <f>I52*J52</f>
        <v>5000</v>
      </c>
      <c r="L52" s="398">
        <f>K52*0.09</f>
        <v>450</v>
      </c>
      <c r="M52" s="405" t="s">
        <v>220</v>
      </c>
      <c r="N52" s="428">
        <f>SUM(K52:L52)</f>
        <v>5450</v>
      </c>
      <c r="O52" s="397"/>
      <c r="P52" s="397"/>
      <c r="Q52" s="397"/>
      <c r="R52" s="397"/>
      <c r="S52" s="397"/>
      <c r="T52" s="285"/>
    </row>
    <row r="53" spans="1:20" ht="51" x14ac:dyDescent="0.2">
      <c r="A53" s="403" t="s">
        <v>373</v>
      </c>
      <c r="B53" s="402" t="s">
        <v>25</v>
      </c>
      <c r="C53" s="402" t="s">
        <v>479</v>
      </c>
      <c r="D53" s="401" t="s">
        <v>478</v>
      </c>
      <c r="E53" s="401" t="s">
        <v>477</v>
      </c>
      <c r="F53" s="400" t="s">
        <v>212</v>
      </c>
      <c r="G53" s="400" t="s">
        <v>30</v>
      </c>
      <c r="H53" s="348" t="s">
        <v>476</v>
      </c>
      <c r="I53" s="404">
        <v>40000</v>
      </c>
      <c r="J53" s="341">
        <v>1</v>
      </c>
      <c r="K53" s="398">
        <f>I53*J53</f>
        <v>40000</v>
      </c>
      <c r="L53" s="398">
        <f>K53*0.09</f>
        <v>3600</v>
      </c>
      <c r="M53" s="405" t="s">
        <v>220</v>
      </c>
      <c r="N53" s="428">
        <f>SUM(K53:L53)</f>
        <v>43600</v>
      </c>
      <c r="O53" s="397"/>
      <c r="P53" s="397"/>
      <c r="Q53" s="397"/>
      <c r="R53" s="397"/>
      <c r="S53" s="397"/>
      <c r="T53" s="285"/>
    </row>
    <row r="54" spans="1:20" ht="85" x14ac:dyDescent="0.2">
      <c r="A54" s="403" t="s">
        <v>373</v>
      </c>
      <c r="B54" s="402" t="s">
        <v>25</v>
      </c>
      <c r="C54" s="325" t="s">
        <v>26</v>
      </c>
      <c r="D54" s="401" t="s">
        <v>475</v>
      </c>
      <c r="E54" s="401" t="s">
        <v>474</v>
      </c>
      <c r="F54" s="400" t="s">
        <v>212</v>
      </c>
      <c r="G54" s="400" t="s">
        <v>30</v>
      </c>
      <c r="H54" s="348" t="s">
        <v>220</v>
      </c>
      <c r="I54" s="399">
        <v>8000</v>
      </c>
      <c r="J54" s="341">
        <v>1</v>
      </c>
      <c r="K54" s="398">
        <f>I54*J54</f>
        <v>8000</v>
      </c>
      <c r="L54" s="398">
        <f>K54*0.09</f>
        <v>720</v>
      </c>
      <c r="M54" s="351" t="s">
        <v>220</v>
      </c>
      <c r="N54" s="350">
        <f>SUM(K54:L54)</f>
        <v>8720</v>
      </c>
      <c r="O54" s="397"/>
      <c r="P54" s="397"/>
      <c r="Q54" s="286" t="s">
        <v>31</v>
      </c>
      <c r="R54" s="286"/>
      <c r="S54" s="397"/>
      <c r="T54" s="285"/>
    </row>
    <row r="55" spans="1:20" ht="51" x14ac:dyDescent="0.2">
      <c r="A55" s="346" t="s">
        <v>400</v>
      </c>
      <c r="B55" s="345" t="s">
        <v>215</v>
      </c>
      <c r="C55" s="345" t="s">
        <v>376</v>
      </c>
      <c r="D55" s="344" t="s">
        <v>473</v>
      </c>
      <c r="E55" s="344" t="s">
        <v>472</v>
      </c>
      <c r="F55" s="343" t="s">
        <v>212</v>
      </c>
      <c r="G55" s="343" t="s">
        <v>30</v>
      </c>
      <c r="H55" s="342" t="s">
        <v>220</v>
      </c>
      <c r="I55" s="349">
        <v>90000</v>
      </c>
      <c r="J55" s="341">
        <v>1</v>
      </c>
      <c r="K55" s="398">
        <f>I55*J55</f>
        <v>90000</v>
      </c>
      <c r="L55" s="398">
        <f>K55*0.09</f>
        <v>8100</v>
      </c>
      <c r="M55" s="406" t="s">
        <v>220</v>
      </c>
      <c r="N55" s="340">
        <f>SUM(K55:L55)</f>
        <v>98100</v>
      </c>
      <c r="O55" s="397"/>
      <c r="P55" s="397"/>
      <c r="Q55" s="286" t="s">
        <v>31</v>
      </c>
      <c r="R55" s="397"/>
      <c r="S55" s="397"/>
      <c r="T55" s="285"/>
    </row>
    <row r="56" spans="1:20" ht="34" x14ac:dyDescent="0.2">
      <c r="A56" s="346" t="s">
        <v>400</v>
      </c>
      <c r="B56" s="345" t="s">
        <v>25</v>
      </c>
      <c r="C56" s="325" t="s">
        <v>26</v>
      </c>
      <c r="D56" s="344" t="s">
        <v>471</v>
      </c>
      <c r="E56" s="344" t="s">
        <v>470</v>
      </c>
      <c r="F56" s="343" t="s">
        <v>212</v>
      </c>
      <c r="G56" s="343" t="s">
        <v>30</v>
      </c>
      <c r="H56" s="342" t="s">
        <v>220</v>
      </c>
      <c r="I56" s="349">
        <v>20000</v>
      </c>
      <c r="J56" s="341">
        <v>1</v>
      </c>
      <c r="K56" s="398">
        <f>I56*J56</f>
        <v>20000</v>
      </c>
      <c r="L56" s="398">
        <f>K56*0.09</f>
        <v>1800</v>
      </c>
      <c r="M56" s="350">
        <v>500</v>
      </c>
      <c r="N56" s="340">
        <f>SUM(K56:M56)</f>
        <v>22300</v>
      </c>
      <c r="O56" s="397"/>
      <c r="P56" s="397"/>
      <c r="Q56" s="286" t="s">
        <v>31</v>
      </c>
      <c r="R56" s="286" t="s">
        <v>31</v>
      </c>
      <c r="S56" s="397"/>
      <c r="T56" s="285"/>
    </row>
    <row r="57" spans="1:20" ht="51" x14ac:dyDescent="0.2">
      <c r="A57" s="346" t="s">
        <v>373</v>
      </c>
      <c r="B57" s="345" t="s">
        <v>215</v>
      </c>
      <c r="C57" s="325" t="s">
        <v>26</v>
      </c>
      <c r="D57" s="344" t="s">
        <v>469</v>
      </c>
      <c r="E57" s="344" t="s">
        <v>468</v>
      </c>
      <c r="F57" s="343" t="s">
        <v>212</v>
      </c>
      <c r="G57" s="343" t="s">
        <v>37</v>
      </c>
      <c r="H57" s="342" t="s">
        <v>220</v>
      </c>
      <c r="I57" s="349">
        <v>10000</v>
      </c>
      <c r="J57" s="341">
        <v>1</v>
      </c>
      <c r="K57" s="398">
        <f>I57*J57</f>
        <v>10000</v>
      </c>
      <c r="L57" s="398">
        <f>K57*0.09</f>
        <v>900</v>
      </c>
      <c r="M57" s="350" t="s">
        <v>220</v>
      </c>
      <c r="N57" s="340">
        <f>SUM(K57:L57)</f>
        <v>10900</v>
      </c>
      <c r="O57" s="397"/>
      <c r="P57" s="397"/>
      <c r="Q57" s="286" t="s">
        <v>31</v>
      </c>
      <c r="R57" s="286" t="s">
        <v>31</v>
      </c>
      <c r="S57" s="397"/>
      <c r="T57" s="285"/>
    </row>
    <row r="58" spans="1:20" ht="34" x14ac:dyDescent="0.2">
      <c r="A58" s="351" t="s">
        <v>373</v>
      </c>
      <c r="B58" s="351" t="s">
        <v>215</v>
      </c>
      <c r="C58" s="351" t="s">
        <v>467</v>
      </c>
      <c r="D58" s="364" t="s">
        <v>466</v>
      </c>
      <c r="E58" s="363" t="s">
        <v>465</v>
      </c>
      <c r="F58" s="351" t="s">
        <v>36</v>
      </c>
      <c r="G58" s="351" t="s">
        <v>37</v>
      </c>
      <c r="H58" s="351">
        <v>5</v>
      </c>
      <c r="I58" s="432">
        <v>25000</v>
      </c>
      <c r="J58" s="362">
        <v>1</v>
      </c>
      <c r="K58" s="408">
        <f>I58*J58</f>
        <v>25000</v>
      </c>
      <c r="L58" s="408">
        <f>K58*0.09</f>
        <v>2250</v>
      </c>
      <c r="M58" s="456" t="s">
        <v>220</v>
      </c>
      <c r="N58" s="361">
        <f>SUM(K58:L58)</f>
        <v>27250</v>
      </c>
      <c r="O58" s="397"/>
      <c r="P58" s="397"/>
      <c r="Q58" s="286" t="s">
        <v>31</v>
      </c>
      <c r="R58" s="286" t="s">
        <v>31</v>
      </c>
      <c r="S58" s="397"/>
      <c r="T58" s="285"/>
    </row>
    <row r="59" spans="1:20" ht="34" x14ac:dyDescent="0.2">
      <c r="A59" s="346" t="s">
        <v>373</v>
      </c>
      <c r="B59" s="345" t="s">
        <v>215</v>
      </c>
      <c r="C59" s="345" t="s">
        <v>435</v>
      </c>
      <c r="D59" s="344" t="s">
        <v>464</v>
      </c>
      <c r="E59" s="344" t="s">
        <v>462</v>
      </c>
      <c r="F59" s="343" t="s">
        <v>212</v>
      </c>
      <c r="G59" s="343" t="s">
        <v>37</v>
      </c>
      <c r="H59" s="342" t="s">
        <v>220</v>
      </c>
      <c r="I59" s="349">
        <v>250</v>
      </c>
      <c r="J59" s="341">
        <v>10</v>
      </c>
      <c r="K59" s="398">
        <f>I59*J59</f>
        <v>2500</v>
      </c>
      <c r="L59" s="398">
        <f>K59*0.09</f>
        <v>225</v>
      </c>
      <c r="M59" s="406" t="s">
        <v>220</v>
      </c>
      <c r="N59" s="340">
        <f>SUM(K59:L59)</f>
        <v>2725</v>
      </c>
      <c r="O59" s="397"/>
      <c r="P59" s="397"/>
      <c r="Q59" s="286" t="s">
        <v>31</v>
      </c>
      <c r="R59" s="286" t="s">
        <v>31</v>
      </c>
      <c r="S59" s="397"/>
      <c r="T59" s="285"/>
    </row>
    <row r="60" spans="1:20" ht="34" x14ac:dyDescent="0.2">
      <c r="A60" s="346" t="s">
        <v>373</v>
      </c>
      <c r="B60" s="345" t="s">
        <v>215</v>
      </c>
      <c r="C60" s="345" t="s">
        <v>435</v>
      </c>
      <c r="D60" s="344" t="s">
        <v>463</v>
      </c>
      <c r="E60" s="344" t="s">
        <v>462</v>
      </c>
      <c r="F60" s="343" t="s">
        <v>212</v>
      </c>
      <c r="G60" s="343" t="s">
        <v>37</v>
      </c>
      <c r="H60" s="342" t="s">
        <v>220</v>
      </c>
      <c r="I60" s="349">
        <v>60000</v>
      </c>
      <c r="J60" s="341">
        <v>1</v>
      </c>
      <c r="K60" s="398">
        <f>I60*J60</f>
        <v>60000</v>
      </c>
      <c r="L60" s="398">
        <f>K60*0.09</f>
        <v>5400</v>
      </c>
      <c r="M60" s="406" t="s">
        <v>220</v>
      </c>
      <c r="N60" s="340">
        <f>SUM(K60:L60)</f>
        <v>65400</v>
      </c>
      <c r="O60" s="397"/>
      <c r="P60" s="397"/>
      <c r="Q60" s="286" t="s">
        <v>31</v>
      </c>
      <c r="R60" s="286" t="s">
        <v>31</v>
      </c>
      <c r="S60" s="397"/>
      <c r="T60" s="285"/>
    </row>
    <row r="61" spans="1:20" ht="68" x14ac:dyDescent="0.2">
      <c r="A61" s="342" t="s">
        <v>400</v>
      </c>
      <c r="B61" s="345" t="s">
        <v>215</v>
      </c>
      <c r="C61" s="345" t="s">
        <v>435</v>
      </c>
      <c r="D61" s="344" t="s">
        <v>461</v>
      </c>
      <c r="E61" s="344" t="s">
        <v>460</v>
      </c>
      <c r="F61" s="343" t="s">
        <v>212</v>
      </c>
      <c r="G61" s="343" t="s">
        <v>30</v>
      </c>
      <c r="H61" s="342" t="s">
        <v>220</v>
      </c>
      <c r="I61" s="349">
        <v>100</v>
      </c>
      <c r="J61" s="341">
        <v>4</v>
      </c>
      <c r="K61" s="398">
        <f>I61*J61</f>
        <v>400</v>
      </c>
      <c r="L61" s="398">
        <f>K61*0.09</f>
        <v>36</v>
      </c>
      <c r="M61" s="406" t="s">
        <v>220</v>
      </c>
      <c r="N61" s="340">
        <f>SUM(K61:L61)</f>
        <v>436</v>
      </c>
      <c r="O61" s="397"/>
      <c r="P61" s="397"/>
      <c r="Q61" s="286" t="s">
        <v>31</v>
      </c>
      <c r="R61" s="286" t="s">
        <v>31</v>
      </c>
      <c r="S61" s="397"/>
      <c r="T61" s="285"/>
    </row>
    <row r="62" spans="1:20" ht="17" x14ac:dyDescent="0.2">
      <c r="A62" s="346" t="s">
        <v>400</v>
      </c>
      <c r="B62" s="345" t="s">
        <v>215</v>
      </c>
      <c r="C62" s="345" t="s">
        <v>435</v>
      </c>
      <c r="D62" s="344" t="s">
        <v>459</v>
      </c>
      <c r="E62" s="344" t="s">
        <v>456</v>
      </c>
      <c r="F62" s="343" t="s">
        <v>212</v>
      </c>
      <c r="G62" s="343" t="s">
        <v>37</v>
      </c>
      <c r="H62" s="348" t="s">
        <v>220</v>
      </c>
      <c r="I62" s="347">
        <v>15000</v>
      </c>
      <c r="J62" s="341">
        <v>2</v>
      </c>
      <c r="K62" s="398">
        <f>I62*J62</f>
        <v>30000</v>
      </c>
      <c r="L62" s="398">
        <f>K62*0.09</f>
        <v>2700</v>
      </c>
      <c r="M62" s="406" t="s">
        <v>220</v>
      </c>
      <c r="N62" s="340">
        <f>SUM(K62:L62)</f>
        <v>32700</v>
      </c>
      <c r="O62" s="397"/>
      <c r="P62" s="397"/>
      <c r="Q62" s="286" t="s">
        <v>31</v>
      </c>
      <c r="R62" s="286" t="s">
        <v>31</v>
      </c>
      <c r="S62" s="397"/>
      <c r="T62" s="285"/>
    </row>
    <row r="63" spans="1:20" ht="17" x14ac:dyDescent="0.2">
      <c r="A63" s="346" t="s">
        <v>400</v>
      </c>
      <c r="B63" s="345" t="s">
        <v>215</v>
      </c>
      <c r="C63" s="345" t="s">
        <v>435</v>
      </c>
      <c r="D63" s="344" t="s">
        <v>458</v>
      </c>
      <c r="E63" s="344" t="s">
        <v>456</v>
      </c>
      <c r="F63" s="343" t="s">
        <v>212</v>
      </c>
      <c r="G63" s="343" t="s">
        <v>37</v>
      </c>
      <c r="H63" s="342" t="s">
        <v>220</v>
      </c>
      <c r="I63" s="349">
        <v>3000</v>
      </c>
      <c r="J63" s="341">
        <v>4</v>
      </c>
      <c r="K63" s="398">
        <f>I63*J63</f>
        <v>12000</v>
      </c>
      <c r="L63" s="398">
        <f>K63*0.09</f>
        <v>1080</v>
      </c>
      <c r="M63" s="406" t="s">
        <v>220</v>
      </c>
      <c r="N63" s="340">
        <f>SUM(K63:L63)</f>
        <v>13080</v>
      </c>
      <c r="O63" s="397"/>
      <c r="P63" s="397"/>
      <c r="Q63" s="286" t="s">
        <v>31</v>
      </c>
      <c r="R63" s="286" t="s">
        <v>31</v>
      </c>
      <c r="S63" s="397"/>
      <c r="T63" s="285"/>
    </row>
    <row r="64" spans="1:20" ht="17" x14ac:dyDescent="0.2">
      <c r="A64" s="346" t="s">
        <v>400</v>
      </c>
      <c r="B64" s="345" t="s">
        <v>215</v>
      </c>
      <c r="C64" s="345" t="s">
        <v>435</v>
      </c>
      <c r="D64" s="344" t="s">
        <v>457</v>
      </c>
      <c r="E64" s="344" t="s">
        <v>456</v>
      </c>
      <c r="F64" s="343" t="s">
        <v>212</v>
      </c>
      <c r="G64" s="343" t="s">
        <v>37</v>
      </c>
      <c r="H64" s="342" t="s">
        <v>220</v>
      </c>
      <c r="I64" s="349">
        <v>9000</v>
      </c>
      <c r="J64" s="341">
        <v>4</v>
      </c>
      <c r="K64" s="398">
        <f>I64*J64</f>
        <v>36000</v>
      </c>
      <c r="L64" s="398">
        <f>K64*0.09</f>
        <v>3240</v>
      </c>
      <c r="M64" s="406" t="s">
        <v>220</v>
      </c>
      <c r="N64" s="340">
        <f>SUM(K64:L64)</f>
        <v>39240</v>
      </c>
      <c r="O64" s="397"/>
      <c r="P64" s="397"/>
      <c r="Q64" s="286" t="s">
        <v>31</v>
      </c>
      <c r="R64" s="286" t="s">
        <v>31</v>
      </c>
      <c r="S64" s="397"/>
      <c r="T64" s="285"/>
    </row>
    <row r="65" spans="1:20" ht="34" x14ac:dyDescent="0.2">
      <c r="A65" s="346" t="s">
        <v>400</v>
      </c>
      <c r="B65" s="345" t="s">
        <v>215</v>
      </c>
      <c r="C65" s="345" t="s">
        <v>435</v>
      </c>
      <c r="D65" s="344" t="s">
        <v>455</v>
      </c>
      <c r="E65" s="344" t="s">
        <v>454</v>
      </c>
      <c r="F65" s="343" t="s">
        <v>212</v>
      </c>
      <c r="G65" s="343" t="s">
        <v>30</v>
      </c>
      <c r="H65" s="342" t="s">
        <v>220</v>
      </c>
      <c r="I65" s="349">
        <v>61</v>
      </c>
      <c r="J65" s="341">
        <v>30</v>
      </c>
      <c r="K65" s="398">
        <f>I65*J65</f>
        <v>1830</v>
      </c>
      <c r="L65" s="398">
        <f>K65*0.09</f>
        <v>164.7</v>
      </c>
      <c r="M65" s="406" t="s">
        <v>220</v>
      </c>
      <c r="N65" s="360">
        <f>SUM(K65:L65)</f>
        <v>1994.7</v>
      </c>
      <c r="O65" s="397"/>
      <c r="P65" s="397"/>
      <c r="Q65" s="397"/>
      <c r="R65" s="397"/>
      <c r="S65" s="397"/>
      <c r="T65" s="285"/>
    </row>
    <row r="66" spans="1:20" ht="72" customHeight="1" x14ac:dyDescent="0.2">
      <c r="A66" s="346" t="s">
        <v>400</v>
      </c>
      <c r="B66" s="325" t="s">
        <v>215</v>
      </c>
      <c r="C66" s="345" t="s">
        <v>453</v>
      </c>
      <c r="D66" s="344" t="s">
        <v>452</v>
      </c>
      <c r="E66" s="344" t="s">
        <v>451</v>
      </c>
      <c r="F66" s="343" t="s">
        <v>212</v>
      </c>
      <c r="G66" s="343" t="s">
        <v>37</v>
      </c>
      <c r="H66" s="342" t="s">
        <v>220</v>
      </c>
      <c r="I66" s="349">
        <v>1250</v>
      </c>
      <c r="J66" s="341">
        <v>10</v>
      </c>
      <c r="K66" s="398">
        <f>(I66*J66)</f>
        <v>12500</v>
      </c>
      <c r="L66" s="398">
        <f>K66*0.09</f>
        <v>1125</v>
      </c>
      <c r="M66" s="406" t="s">
        <v>220</v>
      </c>
      <c r="N66" s="340">
        <f>SUM(K66:L66)</f>
        <v>13625</v>
      </c>
      <c r="O66" s="397"/>
      <c r="P66" s="397"/>
      <c r="Q66" s="286" t="s">
        <v>31</v>
      </c>
      <c r="R66" s="286" t="s">
        <v>31</v>
      </c>
      <c r="S66" s="397"/>
      <c r="T66" s="285"/>
    </row>
    <row r="67" spans="1:20" ht="34" x14ac:dyDescent="0.2">
      <c r="A67" s="342" t="s">
        <v>373</v>
      </c>
      <c r="B67" s="325" t="s">
        <v>215</v>
      </c>
      <c r="C67" s="345" t="s">
        <v>435</v>
      </c>
      <c r="D67" s="344" t="s">
        <v>450</v>
      </c>
      <c r="E67" s="344" t="s">
        <v>449</v>
      </c>
      <c r="F67" s="343" t="s">
        <v>212</v>
      </c>
      <c r="G67" s="343" t="s">
        <v>30</v>
      </c>
      <c r="H67" s="349" t="s">
        <v>220</v>
      </c>
      <c r="I67" s="347">
        <v>3000</v>
      </c>
      <c r="J67" s="341">
        <v>1</v>
      </c>
      <c r="K67" s="398">
        <f>(I67*J67)</f>
        <v>3000</v>
      </c>
      <c r="L67" s="398">
        <f>K67*0.09</f>
        <v>270</v>
      </c>
      <c r="M67" s="457" t="s">
        <v>220</v>
      </c>
      <c r="N67" s="360">
        <f>SUM(K67:L67)</f>
        <v>3270</v>
      </c>
      <c r="O67" s="397"/>
      <c r="P67" s="397"/>
      <c r="Q67" s="286" t="s">
        <v>31</v>
      </c>
      <c r="R67" s="286" t="s">
        <v>31</v>
      </c>
      <c r="S67" s="397"/>
      <c r="T67" s="285"/>
    </row>
    <row r="68" spans="1:20" ht="34" x14ac:dyDescent="0.2">
      <c r="A68" s="346" t="s">
        <v>373</v>
      </c>
      <c r="B68" s="325" t="s">
        <v>215</v>
      </c>
      <c r="C68" s="345" t="s">
        <v>435</v>
      </c>
      <c r="D68" s="344" t="s">
        <v>448</v>
      </c>
      <c r="E68" s="344" t="s">
        <v>447</v>
      </c>
      <c r="F68" s="343" t="s">
        <v>212</v>
      </c>
      <c r="G68" s="343" t="s">
        <v>30</v>
      </c>
      <c r="H68" s="342" t="s">
        <v>220</v>
      </c>
      <c r="I68" s="349">
        <v>11000</v>
      </c>
      <c r="J68" s="341">
        <v>1</v>
      </c>
      <c r="K68" s="398">
        <f>I68*J68</f>
        <v>11000</v>
      </c>
      <c r="L68" s="398">
        <f>K68*0.09</f>
        <v>990</v>
      </c>
      <c r="M68" s="406" t="s">
        <v>220</v>
      </c>
      <c r="N68" s="340">
        <f>SUM(K68:L68)</f>
        <v>11990</v>
      </c>
      <c r="O68" s="397"/>
      <c r="P68" s="397"/>
      <c r="Q68" s="397"/>
      <c r="R68" s="397"/>
      <c r="S68" s="397"/>
      <c r="T68" s="285"/>
    </row>
    <row r="69" spans="1:20" ht="85" x14ac:dyDescent="0.2">
      <c r="A69" s="342" t="s">
        <v>400</v>
      </c>
      <c r="B69" s="325" t="s">
        <v>215</v>
      </c>
      <c r="C69" s="345" t="s">
        <v>435</v>
      </c>
      <c r="D69" s="344" t="s">
        <v>446</v>
      </c>
      <c r="E69" s="344" t="s">
        <v>445</v>
      </c>
      <c r="F69" s="343" t="s">
        <v>212</v>
      </c>
      <c r="G69" s="343" t="s">
        <v>37</v>
      </c>
      <c r="H69" s="342" t="s">
        <v>220</v>
      </c>
      <c r="I69" s="349">
        <v>65000</v>
      </c>
      <c r="J69" s="341">
        <v>1</v>
      </c>
      <c r="K69" s="398">
        <f>I69*J69</f>
        <v>65000</v>
      </c>
      <c r="L69" s="398">
        <f>K69*0.09</f>
        <v>5850</v>
      </c>
      <c r="M69" s="406" t="s">
        <v>220</v>
      </c>
      <c r="N69" s="340">
        <f>SUM(K69:L69)</f>
        <v>70850</v>
      </c>
      <c r="O69" s="397"/>
      <c r="P69" s="397"/>
      <c r="Q69" s="286" t="s">
        <v>31</v>
      </c>
      <c r="R69" s="286" t="s">
        <v>31</v>
      </c>
      <c r="S69" s="397"/>
      <c r="T69" s="285"/>
    </row>
    <row r="70" spans="1:20" ht="34" x14ac:dyDescent="0.2">
      <c r="A70" s="342" t="s">
        <v>400</v>
      </c>
      <c r="B70" s="325" t="s">
        <v>215</v>
      </c>
      <c r="C70" s="345" t="s">
        <v>435</v>
      </c>
      <c r="D70" s="344" t="s">
        <v>444</v>
      </c>
      <c r="E70" s="344" t="s">
        <v>443</v>
      </c>
      <c r="F70" s="343" t="s">
        <v>212</v>
      </c>
      <c r="G70" s="343" t="s">
        <v>30</v>
      </c>
      <c r="H70" s="342" t="s">
        <v>220</v>
      </c>
      <c r="I70" s="349">
        <v>500</v>
      </c>
      <c r="J70" s="341">
        <v>3</v>
      </c>
      <c r="K70" s="398">
        <f>I70*J70</f>
        <v>1500</v>
      </c>
      <c r="L70" s="398">
        <f>K70*0.09</f>
        <v>135</v>
      </c>
      <c r="M70" s="406" t="s">
        <v>220</v>
      </c>
      <c r="N70" s="340">
        <f>SUM(K70:L70)</f>
        <v>1635</v>
      </c>
      <c r="O70" s="397"/>
      <c r="P70" s="397"/>
      <c r="Q70" s="286" t="s">
        <v>31</v>
      </c>
      <c r="R70" s="286" t="s">
        <v>31</v>
      </c>
      <c r="S70" s="397"/>
      <c r="T70" s="285"/>
    </row>
    <row r="71" spans="1:20" customFormat="1" ht="68" x14ac:dyDescent="0.2">
      <c r="A71" s="346" t="s">
        <v>373</v>
      </c>
      <c r="B71" s="345" t="s">
        <v>25</v>
      </c>
      <c r="C71" s="345" t="s">
        <v>409</v>
      </c>
      <c r="D71" s="401" t="s">
        <v>411</v>
      </c>
      <c r="E71" s="401" t="s">
        <v>410</v>
      </c>
      <c r="F71" s="400" t="s">
        <v>212</v>
      </c>
      <c r="G71" s="400" t="s">
        <v>220</v>
      </c>
      <c r="H71" s="348" t="s">
        <v>220</v>
      </c>
      <c r="I71" s="407">
        <v>2000</v>
      </c>
      <c r="J71" s="341">
        <v>10</v>
      </c>
      <c r="K71" s="398">
        <f>I71*J71</f>
        <v>20000</v>
      </c>
      <c r="L71" s="398">
        <f>K71*0.09</f>
        <v>1800</v>
      </c>
      <c r="M71" s="406" t="s">
        <v>220</v>
      </c>
      <c r="N71" s="431">
        <f>SUM(K71:L71)</f>
        <v>21800</v>
      </c>
      <c r="O71" s="459"/>
      <c r="P71" s="459"/>
      <c r="Q71" s="272" t="s">
        <v>31</v>
      </c>
      <c r="R71" s="272" t="s">
        <v>31</v>
      </c>
      <c r="S71" s="272"/>
      <c r="T71" s="272"/>
    </row>
    <row r="72" spans="1:20" customFormat="1" ht="68" x14ac:dyDescent="0.2">
      <c r="A72" s="346" t="s">
        <v>400</v>
      </c>
      <c r="B72" s="345" t="s">
        <v>25</v>
      </c>
      <c r="C72" s="345" t="s">
        <v>409</v>
      </c>
      <c r="D72" s="401" t="s">
        <v>408</v>
      </c>
      <c r="E72" s="401" t="s">
        <v>407</v>
      </c>
      <c r="F72" s="400" t="s">
        <v>212</v>
      </c>
      <c r="G72" s="400" t="s">
        <v>220</v>
      </c>
      <c r="H72" s="348" t="s">
        <v>220</v>
      </c>
      <c r="I72" s="399">
        <v>300</v>
      </c>
      <c r="J72" s="341">
        <v>10</v>
      </c>
      <c r="K72" s="398">
        <f>I72*J72</f>
        <v>3000</v>
      </c>
      <c r="L72" s="398">
        <f>K72*0.09</f>
        <v>270</v>
      </c>
      <c r="M72" s="406" t="s">
        <v>220</v>
      </c>
      <c r="N72" s="428">
        <f>SUM(K72:L72)</f>
        <v>3270</v>
      </c>
      <c r="O72" s="459"/>
      <c r="P72" s="459"/>
      <c r="Q72" s="272" t="s">
        <v>31</v>
      </c>
      <c r="R72" s="272" t="s">
        <v>31</v>
      </c>
      <c r="S72" s="272"/>
      <c r="T72" s="272"/>
    </row>
    <row r="73" spans="1:20" customFormat="1" ht="51" x14ac:dyDescent="0.2">
      <c r="A73" s="346" t="s">
        <v>373</v>
      </c>
      <c r="B73" s="345" t="s">
        <v>25</v>
      </c>
      <c r="C73" s="345" t="s">
        <v>376</v>
      </c>
      <c r="D73" s="401" t="s">
        <v>480</v>
      </c>
      <c r="E73" s="401" t="s">
        <v>401</v>
      </c>
      <c r="F73" s="400" t="s">
        <v>212</v>
      </c>
      <c r="G73" s="400" t="s">
        <v>30</v>
      </c>
      <c r="H73" s="348" t="s">
        <v>220</v>
      </c>
      <c r="I73" s="399">
        <v>27000</v>
      </c>
      <c r="J73" s="341">
        <v>1</v>
      </c>
      <c r="K73" s="398">
        <f>I73*J73</f>
        <v>27000</v>
      </c>
      <c r="L73" s="398">
        <f>K73*0.09</f>
        <v>2430</v>
      </c>
      <c r="M73" s="405" t="s">
        <v>220</v>
      </c>
      <c r="N73" s="428">
        <f>SUM(K73:L73)</f>
        <v>29430</v>
      </c>
      <c r="O73" s="459"/>
      <c r="P73" s="459"/>
      <c r="Q73" s="272"/>
      <c r="R73" s="272"/>
      <c r="S73" s="272"/>
      <c r="T73" s="272"/>
    </row>
    <row r="74" spans="1:20" customFormat="1" ht="68" x14ac:dyDescent="0.2">
      <c r="A74" s="346" t="s">
        <v>400</v>
      </c>
      <c r="B74" s="345" t="s">
        <v>25</v>
      </c>
      <c r="C74" s="345" t="s">
        <v>376</v>
      </c>
      <c r="D74" s="401" t="s">
        <v>406</v>
      </c>
      <c r="E74" s="401" t="s">
        <v>405</v>
      </c>
      <c r="F74" s="400" t="s">
        <v>212</v>
      </c>
      <c r="G74" s="400" t="s">
        <v>30</v>
      </c>
      <c r="H74" s="348" t="s">
        <v>220</v>
      </c>
      <c r="I74" s="399">
        <v>8000</v>
      </c>
      <c r="J74" s="341">
        <v>1</v>
      </c>
      <c r="K74" s="398">
        <f>I74*J74</f>
        <v>8000</v>
      </c>
      <c r="L74" s="398">
        <f>K74*0.09</f>
        <v>720</v>
      </c>
      <c r="M74" s="351" t="s">
        <v>220</v>
      </c>
      <c r="N74" s="350">
        <f>SUM(K74:L74)</f>
        <v>8720</v>
      </c>
      <c r="O74" s="459"/>
      <c r="P74" s="459"/>
      <c r="Q74" s="272" t="s">
        <v>31</v>
      </c>
      <c r="R74" s="272" t="s">
        <v>31</v>
      </c>
      <c r="S74" s="272"/>
      <c r="T74" s="272"/>
    </row>
    <row r="75" spans="1:20" customFormat="1" ht="51" x14ac:dyDescent="0.2">
      <c r="A75" s="346" t="s">
        <v>373</v>
      </c>
      <c r="B75" s="345" t="s">
        <v>25</v>
      </c>
      <c r="C75" s="345" t="s">
        <v>376</v>
      </c>
      <c r="D75" s="401" t="s">
        <v>404</v>
      </c>
      <c r="E75" s="401" t="s">
        <v>403</v>
      </c>
      <c r="F75" s="400" t="s">
        <v>212</v>
      </c>
      <c r="G75" s="400" t="s">
        <v>30</v>
      </c>
      <c r="H75" s="351" t="s">
        <v>220</v>
      </c>
      <c r="I75" s="349">
        <v>6000</v>
      </c>
      <c r="J75" s="341">
        <v>3</v>
      </c>
      <c r="K75" s="398">
        <f>I75*J75</f>
        <v>18000</v>
      </c>
      <c r="L75" s="398">
        <f>K75*0.09</f>
        <v>1620</v>
      </c>
      <c r="M75" s="406" t="s">
        <v>220</v>
      </c>
      <c r="N75" s="428">
        <f>SUM(K75:L75)</f>
        <v>19620</v>
      </c>
      <c r="O75" s="459"/>
      <c r="P75" s="459"/>
      <c r="Q75" s="272" t="s">
        <v>31</v>
      </c>
      <c r="R75" s="272" t="s">
        <v>31</v>
      </c>
      <c r="S75" s="272"/>
      <c r="T75" s="272"/>
    </row>
    <row r="76" spans="1:20" customFormat="1" ht="34" x14ac:dyDescent="0.2">
      <c r="A76" s="346" t="s">
        <v>400</v>
      </c>
      <c r="B76" s="345" t="s">
        <v>215</v>
      </c>
      <c r="C76" s="345" t="s">
        <v>376</v>
      </c>
      <c r="D76" s="401" t="s">
        <v>399</v>
      </c>
      <c r="E76" s="401" t="s">
        <v>398</v>
      </c>
      <c r="F76" s="400" t="s">
        <v>212</v>
      </c>
      <c r="G76" s="400" t="s">
        <v>37</v>
      </c>
      <c r="H76" s="351" t="s">
        <v>220</v>
      </c>
      <c r="I76" s="349">
        <v>2000</v>
      </c>
      <c r="J76" s="341">
        <v>3</v>
      </c>
      <c r="K76" s="398">
        <f>I76*J76</f>
        <v>6000</v>
      </c>
      <c r="L76" s="398">
        <f>K76*0.09</f>
        <v>540</v>
      </c>
      <c r="M76" s="406" t="s">
        <v>220</v>
      </c>
      <c r="N76" s="428">
        <f>SUM(K76:L76)</f>
        <v>6540</v>
      </c>
      <c r="O76" s="459"/>
      <c r="P76" s="459"/>
      <c r="Q76" s="272" t="s">
        <v>31</v>
      </c>
      <c r="R76" s="272" t="s">
        <v>31</v>
      </c>
      <c r="S76" s="272"/>
      <c r="T76" s="272"/>
    </row>
    <row r="77" spans="1:20" customFormat="1" ht="51" x14ac:dyDescent="0.2">
      <c r="A77" s="346" t="s">
        <v>373</v>
      </c>
      <c r="B77" s="345" t="s">
        <v>25</v>
      </c>
      <c r="C77" s="345" t="s">
        <v>376</v>
      </c>
      <c r="D77" s="401" t="s">
        <v>402</v>
      </c>
      <c r="E77" s="401" t="s">
        <v>401</v>
      </c>
      <c r="F77" s="400" t="s">
        <v>212</v>
      </c>
      <c r="G77" s="400" t="s">
        <v>30</v>
      </c>
      <c r="H77" s="348" t="s">
        <v>220</v>
      </c>
      <c r="I77" s="399">
        <v>27000</v>
      </c>
      <c r="J77" s="341">
        <v>1</v>
      </c>
      <c r="K77" s="398">
        <f>I77*J77</f>
        <v>27000</v>
      </c>
      <c r="L77" s="398">
        <f>K77*0.09</f>
        <v>2430</v>
      </c>
      <c r="M77" s="405" t="s">
        <v>220</v>
      </c>
      <c r="N77" s="428">
        <f>SUM(K77:L77)</f>
        <v>29430</v>
      </c>
      <c r="O77" s="459"/>
      <c r="P77" s="459"/>
      <c r="Q77" s="272"/>
      <c r="R77" s="272"/>
      <c r="S77" s="272"/>
      <c r="T77" s="272"/>
    </row>
    <row r="78" spans="1:20" customFormat="1" ht="51" x14ac:dyDescent="0.2">
      <c r="A78" s="314" t="s">
        <v>373</v>
      </c>
      <c r="B78" s="313" t="s">
        <v>131</v>
      </c>
      <c r="C78" s="313" t="s">
        <v>376</v>
      </c>
      <c r="D78" s="312" t="s">
        <v>375</v>
      </c>
      <c r="E78" s="312" t="s">
        <v>374</v>
      </c>
      <c r="F78" s="311" t="s">
        <v>29</v>
      </c>
      <c r="G78" s="311" t="s">
        <v>30</v>
      </c>
      <c r="H78" s="310" t="s">
        <v>220</v>
      </c>
      <c r="I78" s="309">
        <v>150000</v>
      </c>
      <c r="J78" s="308">
        <v>1</v>
      </c>
      <c r="K78" s="307">
        <f>I78*J78</f>
        <v>150000</v>
      </c>
      <c r="L78" s="307">
        <f>K78*0.09</f>
        <v>13500</v>
      </c>
      <c r="M78" s="306" t="s">
        <v>220</v>
      </c>
      <c r="N78" s="305">
        <f>SUM(K78:L78)</f>
        <v>163500</v>
      </c>
      <c r="O78" s="272"/>
      <c r="P78" s="272"/>
      <c r="Q78" s="272"/>
      <c r="R78" s="272"/>
      <c r="S78" s="272"/>
      <c r="T78" s="272"/>
    </row>
    <row r="79" spans="1:20" customFormat="1" ht="34" x14ac:dyDescent="0.2">
      <c r="A79" s="318" t="s">
        <v>373</v>
      </c>
      <c r="B79" s="310" t="s">
        <v>215</v>
      </c>
      <c r="C79" s="310" t="s">
        <v>372</v>
      </c>
      <c r="D79" s="318" t="s">
        <v>371</v>
      </c>
      <c r="E79" s="445" t="s">
        <v>370</v>
      </c>
      <c r="F79" s="310" t="s">
        <v>212</v>
      </c>
      <c r="G79" s="310" t="s">
        <v>30</v>
      </c>
      <c r="H79" s="310" t="s">
        <v>220</v>
      </c>
      <c r="I79" s="310">
        <v>500</v>
      </c>
      <c r="J79" s="310">
        <v>3</v>
      </c>
      <c r="K79" s="317">
        <f>(I79*J79)</f>
        <v>1500</v>
      </c>
      <c r="L79" s="316">
        <f>(K79*0.9)</f>
        <v>1350</v>
      </c>
      <c r="M79" s="310" t="s">
        <v>220</v>
      </c>
      <c r="N79" s="315">
        <f>SUM(K79:L79)</f>
        <v>2850</v>
      </c>
      <c r="O79" s="272"/>
      <c r="P79" s="272"/>
      <c r="Q79" s="272"/>
      <c r="R79" s="272"/>
      <c r="S79" s="272"/>
      <c r="T79" s="272"/>
    </row>
    <row r="80" spans="1:20" ht="26" customHeight="1" x14ac:dyDescent="0.2">
      <c r="A80" s="433"/>
      <c r="B80" s="433"/>
      <c r="C80" s="433"/>
      <c r="D80" s="433"/>
      <c r="E80" s="433"/>
      <c r="F80" s="434"/>
      <c r="G80" s="434"/>
      <c r="H80" s="434"/>
      <c r="I80" s="433"/>
      <c r="J80" s="433"/>
      <c r="K80" s="433"/>
      <c r="L80" s="433" t="s">
        <v>520</v>
      </c>
      <c r="M80" s="433"/>
      <c r="N80" s="435">
        <f>SUM(N51:N70)</f>
        <v>476535.7</v>
      </c>
      <c r="O80" s="397"/>
      <c r="P80" s="397"/>
      <c r="Q80" s="397"/>
      <c r="R80" s="397"/>
      <c r="S80" s="397"/>
      <c r="T80" s="285"/>
    </row>
    <row r="81" spans="1:20" ht="68" x14ac:dyDescent="0.2">
      <c r="A81" s="409" t="s">
        <v>442</v>
      </c>
      <c r="B81" s="414" t="s">
        <v>436</v>
      </c>
      <c r="C81" s="409" t="s">
        <v>441</v>
      </c>
      <c r="D81" s="359" t="s">
        <v>440</v>
      </c>
      <c r="E81" s="324" t="s">
        <v>439</v>
      </c>
      <c r="F81" s="321" t="s">
        <v>36</v>
      </c>
      <c r="G81" s="321" t="s">
        <v>424</v>
      </c>
      <c r="H81" s="322">
        <v>1</v>
      </c>
      <c r="I81" s="320"/>
      <c r="J81" s="321">
        <v>1</v>
      </c>
      <c r="K81" s="320">
        <v>10000</v>
      </c>
      <c r="L81" s="320">
        <v>900</v>
      </c>
      <c r="M81" s="320">
        <v>1000</v>
      </c>
      <c r="N81" s="339">
        <v>11900</v>
      </c>
      <c r="O81" s="397"/>
      <c r="P81" s="397"/>
      <c r="Q81" s="286" t="s">
        <v>31</v>
      </c>
      <c r="R81" s="286" t="s">
        <v>31</v>
      </c>
      <c r="S81" s="397"/>
      <c r="T81" s="285"/>
    </row>
    <row r="82" spans="1:20" ht="408" customHeight="1" x14ac:dyDescent="0.2">
      <c r="A82" s="322" t="s">
        <v>343</v>
      </c>
      <c r="B82" s="338" t="s">
        <v>342</v>
      </c>
      <c r="C82" s="325" t="s">
        <v>348</v>
      </c>
      <c r="D82" s="324" t="s">
        <v>438</v>
      </c>
      <c r="E82" s="323" t="s">
        <v>437</v>
      </c>
      <c r="F82" s="321" t="s">
        <v>36</v>
      </c>
      <c r="G82" s="321" t="s">
        <v>124</v>
      </c>
      <c r="H82" s="322">
        <v>1</v>
      </c>
      <c r="I82" s="320">
        <v>200</v>
      </c>
      <c r="J82" s="321">
        <v>1</v>
      </c>
      <c r="K82" s="320">
        <v>200</v>
      </c>
      <c r="L82" s="320">
        <v>0</v>
      </c>
      <c r="M82" s="320">
        <v>0</v>
      </c>
      <c r="N82" s="339">
        <v>200</v>
      </c>
      <c r="O82" s="397"/>
      <c r="P82" s="397"/>
      <c r="Q82" s="286" t="s">
        <v>31</v>
      </c>
      <c r="R82" s="397"/>
      <c r="S82" s="397"/>
      <c r="T82" s="285"/>
    </row>
    <row r="83" spans="1:20" ht="54" customHeight="1" x14ac:dyDescent="0.2">
      <c r="A83" s="336" t="s">
        <v>442</v>
      </c>
      <c r="B83" s="338" t="s">
        <v>397</v>
      </c>
      <c r="C83" s="325" t="s">
        <v>26</v>
      </c>
      <c r="D83" s="337" t="s">
        <v>519</v>
      </c>
      <c r="E83" s="358" t="s">
        <v>434</v>
      </c>
      <c r="F83" s="335" t="s">
        <v>36</v>
      </c>
      <c r="G83" s="335" t="s">
        <v>124</v>
      </c>
      <c r="H83" s="335" t="s">
        <v>518</v>
      </c>
      <c r="I83" s="334">
        <v>7000</v>
      </c>
      <c r="J83" s="336">
        <v>1</v>
      </c>
      <c r="K83" s="334">
        <v>7000</v>
      </c>
      <c r="L83" s="334">
        <v>700</v>
      </c>
      <c r="M83" s="334">
        <v>2000</v>
      </c>
      <c r="N83" s="333">
        <v>9900</v>
      </c>
      <c r="O83" s="397"/>
      <c r="P83" s="397"/>
      <c r="Q83" s="286" t="s">
        <v>31</v>
      </c>
      <c r="R83" s="286" t="s">
        <v>31</v>
      </c>
      <c r="S83" s="397"/>
      <c r="T83" s="285"/>
    </row>
    <row r="84" spans="1:20" ht="238" x14ac:dyDescent="0.2">
      <c r="A84" s="322" t="s">
        <v>343</v>
      </c>
      <c r="B84" s="338" t="s">
        <v>342</v>
      </c>
      <c r="C84" s="325" t="s">
        <v>26</v>
      </c>
      <c r="D84" s="323" t="s">
        <v>517</v>
      </c>
      <c r="E84" s="323" t="s">
        <v>516</v>
      </c>
      <c r="F84" s="321" t="s">
        <v>36</v>
      </c>
      <c r="G84" s="321" t="s">
        <v>345</v>
      </c>
      <c r="H84" s="321" t="s">
        <v>351</v>
      </c>
      <c r="I84" s="320">
        <v>22743.543000000001</v>
      </c>
      <c r="J84" s="322">
        <v>3</v>
      </c>
      <c r="K84" s="436">
        <v>64187.15</v>
      </c>
      <c r="L84" s="437">
        <v>3543.48</v>
      </c>
      <c r="M84" s="334">
        <v>150</v>
      </c>
      <c r="N84" s="438">
        <v>67732.13</v>
      </c>
      <c r="O84" s="397"/>
      <c r="P84" s="397"/>
      <c r="Q84" s="286" t="s">
        <v>31</v>
      </c>
      <c r="R84" s="286" t="s">
        <v>31</v>
      </c>
      <c r="S84" s="397"/>
      <c r="T84" s="285"/>
    </row>
    <row r="85" spans="1:20" ht="136" x14ac:dyDescent="0.2">
      <c r="A85" s="322" t="s">
        <v>343</v>
      </c>
      <c r="B85" s="338" t="s">
        <v>397</v>
      </c>
      <c r="C85" s="325" t="s">
        <v>26</v>
      </c>
      <c r="D85" s="323" t="s">
        <v>515</v>
      </c>
      <c r="E85" s="323" t="s">
        <v>514</v>
      </c>
      <c r="F85" s="321" t="s">
        <v>36</v>
      </c>
      <c r="G85" s="321" t="s">
        <v>345</v>
      </c>
      <c r="H85" s="321" t="s">
        <v>351</v>
      </c>
      <c r="I85" s="320" t="s">
        <v>513</v>
      </c>
      <c r="J85" s="322">
        <v>1</v>
      </c>
      <c r="K85" s="436">
        <v>49000.24</v>
      </c>
      <c r="L85" s="439">
        <v>3668.18</v>
      </c>
      <c r="M85" s="320">
        <v>163.44</v>
      </c>
      <c r="N85" s="437">
        <v>52668.42</v>
      </c>
      <c r="O85" s="397"/>
      <c r="P85" s="397"/>
      <c r="Q85" s="286" t="s">
        <v>31</v>
      </c>
      <c r="R85" s="286" t="s">
        <v>31</v>
      </c>
      <c r="S85" s="397"/>
      <c r="T85" s="285"/>
    </row>
    <row r="86" spans="1:20" ht="228" customHeight="1" x14ac:dyDescent="0.2">
      <c r="A86" s="355" t="s">
        <v>343</v>
      </c>
      <c r="B86" s="338" t="s">
        <v>342</v>
      </c>
      <c r="C86" s="338" t="s">
        <v>364</v>
      </c>
      <c r="D86" s="357" t="s">
        <v>426</v>
      </c>
      <c r="E86" s="356" t="s">
        <v>425</v>
      </c>
      <c r="F86" s="354" t="s">
        <v>36</v>
      </c>
      <c r="G86" s="354" t="s">
        <v>424</v>
      </c>
      <c r="H86" s="355">
        <v>5</v>
      </c>
      <c r="I86" s="353">
        <v>1000</v>
      </c>
      <c r="J86" s="354">
        <v>20</v>
      </c>
      <c r="K86" s="353">
        <v>20000</v>
      </c>
      <c r="L86" s="353">
        <v>1800</v>
      </c>
      <c r="M86" s="353">
        <v>0</v>
      </c>
      <c r="N86" s="352">
        <v>21800</v>
      </c>
      <c r="O86" s="397"/>
      <c r="P86" s="397"/>
      <c r="Q86" s="286"/>
      <c r="R86" s="286"/>
      <c r="S86" s="397"/>
      <c r="T86" s="285" t="s">
        <v>549</v>
      </c>
    </row>
    <row r="87" spans="1:20" s="460" customFormat="1" ht="153" customHeight="1" x14ac:dyDescent="0.2">
      <c r="A87" s="355" t="s">
        <v>343</v>
      </c>
      <c r="B87" s="338" t="s">
        <v>342</v>
      </c>
      <c r="C87" s="338" t="s">
        <v>348</v>
      </c>
      <c r="D87" s="356" t="s">
        <v>433</v>
      </c>
      <c r="E87" s="356" t="s">
        <v>432</v>
      </c>
      <c r="F87" s="354"/>
      <c r="G87" s="354"/>
      <c r="H87" s="355" t="s">
        <v>431</v>
      </c>
      <c r="I87" s="353"/>
      <c r="J87" s="355"/>
      <c r="K87" s="353">
        <v>30000</v>
      </c>
      <c r="L87" s="353">
        <v>0</v>
      </c>
      <c r="M87" s="353">
        <v>0</v>
      </c>
      <c r="N87" s="352" t="s">
        <v>430</v>
      </c>
      <c r="O87" s="459"/>
      <c r="P87" s="459"/>
      <c r="Q87" s="459" t="s">
        <v>31</v>
      </c>
      <c r="R87" s="459" t="s">
        <v>31</v>
      </c>
      <c r="S87" s="459"/>
      <c r="T87" s="459"/>
    </row>
    <row r="88" spans="1:20" s="460" customFormat="1" ht="238" x14ac:dyDescent="0.2">
      <c r="A88" s="355" t="s">
        <v>343</v>
      </c>
      <c r="B88" s="338" t="s">
        <v>131</v>
      </c>
      <c r="C88" s="338" t="s">
        <v>348</v>
      </c>
      <c r="D88" s="357" t="s">
        <v>429</v>
      </c>
      <c r="E88" s="356" t="s">
        <v>428</v>
      </c>
      <c r="F88" s="354" t="s">
        <v>36</v>
      </c>
      <c r="G88" s="354" t="s">
        <v>352</v>
      </c>
      <c r="H88" s="355" t="s">
        <v>427</v>
      </c>
      <c r="I88" s="353">
        <v>2000</v>
      </c>
      <c r="J88" s="354">
        <v>15</v>
      </c>
      <c r="K88" s="353">
        <v>30000</v>
      </c>
      <c r="L88" s="353">
        <v>2700</v>
      </c>
      <c r="M88" s="353">
        <v>0</v>
      </c>
      <c r="N88" s="352">
        <v>32700</v>
      </c>
      <c r="O88" s="459"/>
      <c r="P88" s="459"/>
      <c r="Q88" s="459" t="s">
        <v>31</v>
      </c>
      <c r="R88" s="459" t="s">
        <v>31</v>
      </c>
      <c r="S88" s="459"/>
      <c r="T88" s="459"/>
    </row>
    <row r="89" spans="1:20" s="460" customFormat="1" ht="221" x14ac:dyDescent="0.2">
      <c r="A89" s="355" t="s">
        <v>350</v>
      </c>
      <c r="B89" s="338" t="s">
        <v>397</v>
      </c>
      <c r="C89" s="338" t="s">
        <v>348</v>
      </c>
      <c r="D89" s="357" t="s">
        <v>396</v>
      </c>
      <c r="E89" s="356" t="s">
        <v>395</v>
      </c>
      <c r="F89" s="354" t="s">
        <v>36</v>
      </c>
      <c r="G89" s="354" t="s">
        <v>361</v>
      </c>
      <c r="H89" s="355" t="s">
        <v>357</v>
      </c>
      <c r="I89" s="463" t="s">
        <v>394</v>
      </c>
      <c r="J89" s="354">
        <v>2</v>
      </c>
      <c r="K89" s="353"/>
      <c r="L89" s="353"/>
      <c r="M89" s="353" t="s">
        <v>357</v>
      </c>
      <c r="N89" s="352">
        <v>45000</v>
      </c>
      <c r="O89" s="459"/>
      <c r="P89" s="459"/>
      <c r="Q89" s="459"/>
      <c r="R89" s="459"/>
      <c r="S89" s="459"/>
      <c r="T89" s="459"/>
    </row>
    <row r="90" spans="1:20" s="460" customFormat="1" ht="187" x14ac:dyDescent="0.2">
      <c r="A90" s="355" t="s">
        <v>343</v>
      </c>
      <c r="B90" s="338" t="s">
        <v>48</v>
      </c>
      <c r="C90" s="338" t="s">
        <v>348</v>
      </c>
      <c r="D90" s="357" t="s">
        <v>393</v>
      </c>
      <c r="E90" s="356" t="s">
        <v>392</v>
      </c>
      <c r="F90" s="354" t="s">
        <v>36</v>
      </c>
      <c r="G90" s="354" t="s">
        <v>124</v>
      </c>
      <c r="H90" s="355" t="s">
        <v>391</v>
      </c>
      <c r="I90" s="353">
        <v>5000</v>
      </c>
      <c r="J90" s="354">
        <v>3</v>
      </c>
      <c r="K90" s="353">
        <v>15000</v>
      </c>
      <c r="L90" s="353">
        <v>450</v>
      </c>
      <c r="M90" s="353">
        <v>0</v>
      </c>
      <c r="N90" s="352">
        <v>5450</v>
      </c>
      <c r="O90" s="459"/>
      <c r="P90" s="459"/>
      <c r="Q90" s="459" t="s">
        <v>31</v>
      </c>
      <c r="R90" s="459" t="s">
        <v>31</v>
      </c>
      <c r="S90" s="459"/>
      <c r="T90" s="459"/>
    </row>
    <row r="91" spans="1:20" customFormat="1" ht="51" x14ac:dyDescent="0.2">
      <c r="A91" s="295" t="s">
        <v>343</v>
      </c>
      <c r="B91" s="294" t="s">
        <v>356</v>
      </c>
      <c r="C91" s="294" t="s">
        <v>364</v>
      </c>
      <c r="D91" s="293" t="s">
        <v>363</v>
      </c>
      <c r="E91" s="293" t="s">
        <v>362</v>
      </c>
      <c r="F91" s="290" t="s">
        <v>36</v>
      </c>
      <c r="G91" s="290" t="s">
        <v>361</v>
      </c>
      <c r="H91" s="295"/>
      <c r="I91" s="289">
        <v>13000</v>
      </c>
      <c r="J91" s="290">
        <v>2</v>
      </c>
      <c r="K91" s="289">
        <v>13000</v>
      </c>
      <c r="L91" s="289">
        <v>1170</v>
      </c>
      <c r="M91" s="289">
        <v>0</v>
      </c>
      <c r="N91" s="288">
        <v>14170</v>
      </c>
      <c r="O91" s="272"/>
      <c r="P91" s="272"/>
      <c r="Q91" s="272"/>
      <c r="R91" s="272"/>
      <c r="S91" s="272"/>
      <c r="T91" s="272"/>
    </row>
    <row r="92" spans="1:20" customFormat="1" ht="136" x14ac:dyDescent="0.2">
      <c r="A92" s="295" t="s">
        <v>343</v>
      </c>
      <c r="B92" s="294" t="s">
        <v>356</v>
      </c>
      <c r="C92" s="294" t="s">
        <v>341</v>
      </c>
      <c r="D92" s="293" t="s">
        <v>360</v>
      </c>
      <c r="E92" s="292" t="s">
        <v>359</v>
      </c>
      <c r="F92" s="290" t="s">
        <v>29</v>
      </c>
      <c r="G92" s="290" t="s">
        <v>358</v>
      </c>
      <c r="H92" s="295" t="s">
        <v>357</v>
      </c>
      <c r="I92" s="289">
        <v>75000</v>
      </c>
      <c r="J92" s="290">
        <v>1</v>
      </c>
      <c r="K92" s="289">
        <v>75000</v>
      </c>
      <c r="L92" s="289">
        <v>6750</v>
      </c>
      <c r="M92" s="289">
        <v>0</v>
      </c>
      <c r="N92" s="288">
        <v>81750</v>
      </c>
      <c r="O92" s="272"/>
      <c r="P92" s="272"/>
      <c r="Q92" s="272"/>
      <c r="R92" s="272"/>
      <c r="S92" s="272"/>
      <c r="T92" s="272"/>
    </row>
    <row r="93" spans="1:20" customFormat="1" ht="187" x14ac:dyDescent="0.2">
      <c r="A93" s="295" t="s">
        <v>350</v>
      </c>
      <c r="B93" s="294" t="s">
        <v>356</v>
      </c>
      <c r="C93" s="294" t="s">
        <v>355</v>
      </c>
      <c r="D93" s="293" t="s">
        <v>354</v>
      </c>
      <c r="E93" s="446" t="s">
        <v>353</v>
      </c>
      <c r="F93" s="290" t="s">
        <v>36</v>
      </c>
      <c r="G93" s="290" t="s">
        <v>352</v>
      </c>
      <c r="H93" s="295" t="s">
        <v>351</v>
      </c>
      <c r="I93" s="289"/>
      <c r="J93" s="290">
        <v>1</v>
      </c>
      <c r="K93" s="289">
        <v>9000</v>
      </c>
      <c r="L93" s="289">
        <v>900</v>
      </c>
      <c r="M93" s="289">
        <v>0</v>
      </c>
      <c r="N93" s="288">
        <v>9900</v>
      </c>
      <c r="O93" s="272"/>
      <c r="P93" s="272"/>
      <c r="Q93" s="272"/>
      <c r="R93" s="272"/>
      <c r="S93" s="272"/>
      <c r="T93" s="272"/>
    </row>
    <row r="94" spans="1:20" customFormat="1" ht="409.6" x14ac:dyDescent="0.2">
      <c r="A94" s="295" t="s">
        <v>350</v>
      </c>
      <c r="B94" s="294" t="s">
        <v>349</v>
      </c>
      <c r="C94" s="294" t="s">
        <v>348</v>
      </c>
      <c r="D94" s="292" t="s">
        <v>347</v>
      </c>
      <c r="E94" s="292" t="s">
        <v>346</v>
      </c>
      <c r="F94" s="290" t="s">
        <v>29</v>
      </c>
      <c r="G94" s="290" t="s">
        <v>345</v>
      </c>
      <c r="H94" s="290" t="s">
        <v>344</v>
      </c>
      <c r="I94" s="289">
        <v>250000</v>
      </c>
      <c r="J94" s="295">
        <v>1</v>
      </c>
      <c r="K94" s="289">
        <v>250000</v>
      </c>
      <c r="L94" s="289">
        <v>22500</v>
      </c>
      <c r="M94" s="289"/>
      <c r="N94" s="288">
        <v>272500</v>
      </c>
      <c r="O94" s="272"/>
      <c r="P94" s="272"/>
      <c r="Q94" s="272"/>
      <c r="R94" s="272"/>
      <c r="S94" s="272"/>
      <c r="T94" s="272"/>
    </row>
    <row r="95" spans="1:20" customFormat="1" ht="102" x14ac:dyDescent="0.2">
      <c r="A95" s="295" t="s">
        <v>343</v>
      </c>
      <c r="B95" s="294" t="s">
        <v>342</v>
      </c>
      <c r="C95" s="294" t="s">
        <v>341</v>
      </c>
      <c r="D95" s="293" t="s">
        <v>340</v>
      </c>
      <c r="E95" s="292" t="s">
        <v>339</v>
      </c>
      <c r="F95" s="290" t="s">
        <v>36</v>
      </c>
      <c r="G95" s="290" t="s">
        <v>338</v>
      </c>
      <c r="H95" s="291"/>
      <c r="I95" s="289">
        <v>20000</v>
      </c>
      <c r="J95" s="290">
        <v>1</v>
      </c>
      <c r="K95" s="289">
        <v>20000</v>
      </c>
      <c r="L95" s="289">
        <v>1800</v>
      </c>
      <c r="M95" s="289"/>
      <c r="N95" s="288">
        <v>21800</v>
      </c>
      <c r="O95" s="272"/>
      <c r="P95" s="272"/>
      <c r="Q95" s="272"/>
      <c r="R95" s="272"/>
      <c r="S95" s="272"/>
      <c r="T95" s="272"/>
    </row>
    <row r="96" spans="1:20" ht="27" customHeight="1" x14ac:dyDescent="0.2">
      <c r="A96" s="433"/>
      <c r="B96" s="433"/>
      <c r="C96" s="433"/>
      <c r="D96" s="433"/>
      <c r="E96" s="433"/>
      <c r="F96" s="434"/>
      <c r="G96" s="434"/>
      <c r="H96" s="434"/>
      <c r="I96" s="433"/>
      <c r="J96" s="433"/>
      <c r="K96" s="433"/>
      <c r="L96" s="433" t="s">
        <v>512</v>
      </c>
      <c r="M96" s="433"/>
      <c r="N96" s="427">
        <f>SUM(N81:N86)</f>
        <v>164200.54999999999</v>
      </c>
      <c r="O96" s="286"/>
      <c r="P96" s="286"/>
      <c r="Q96" s="286"/>
      <c r="R96" s="286"/>
      <c r="S96" s="286"/>
      <c r="T96" s="285"/>
    </row>
    <row r="97" spans="1:20" ht="51" x14ac:dyDescent="0.2">
      <c r="A97" s="394" t="s">
        <v>423</v>
      </c>
      <c r="B97" s="287" t="s">
        <v>511</v>
      </c>
      <c r="C97" s="287" t="s">
        <v>376</v>
      </c>
      <c r="D97" s="396" t="s">
        <v>508</v>
      </c>
      <c r="E97" s="395" t="s">
        <v>510</v>
      </c>
      <c r="F97" s="393"/>
      <c r="G97" s="393"/>
      <c r="H97" s="394"/>
      <c r="I97" s="392"/>
      <c r="J97" s="393"/>
      <c r="K97" s="392"/>
      <c r="L97" s="392"/>
      <c r="M97" s="392"/>
      <c r="N97" s="440">
        <v>20000</v>
      </c>
      <c r="O97" s="286"/>
      <c r="P97" s="286"/>
      <c r="Q97" s="286"/>
      <c r="R97" s="286"/>
      <c r="S97" s="286"/>
      <c r="T97" s="285"/>
    </row>
    <row r="98" spans="1:20" ht="17" x14ac:dyDescent="0.2">
      <c r="A98" s="394" t="s">
        <v>509</v>
      </c>
      <c r="B98" s="287" t="s">
        <v>25</v>
      </c>
      <c r="C98" s="287" t="s">
        <v>376</v>
      </c>
      <c r="D98" s="396" t="s">
        <v>508</v>
      </c>
      <c r="E98" s="395" t="s">
        <v>507</v>
      </c>
      <c r="F98" s="393"/>
      <c r="G98" s="393"/>
      <c r="H98" s="394"/>
      <c r="I98" s="392"/>
      <c r="J98" s="393"/>
      <c r="K98" s="392"/>
      <c r="L98" s="392"/>
      <c r="M98" s="392"/>
      <c r="N98" s="440">
        <v>10000</v>
      </c>
      <c r="O98" s="286"/>
      <c r="P98" s="286"/>
      <c r="Q98" s="286"/>
      <c r="R98" s="286"/>
      <c r="S98" s="286"/>
      <c r="T98" s="285"/>
    </row>
    <row r="99" spans="1:20" ht="51" x14ac:dyDescent="0.2">
      <c r="A99" s="387" t="s">
        <v>506</v>
      </c>
      <c r="B99" s="287" t="s">
        <v>25</v>
      </c>
      <c r="C99" s="287" t="s">
        <v>108</v>
      </c>
      <c r="D99" s="391" t="s">
        <v>496</v>
      </c>
      <c r="E99" s="390" t="s">
        <v>505</v>
      </c>
      <c r="F99" s="389" t="s">
        <v>36</v>
      </c>
      <c r="G99" s="389" t="s">
        <v>30</v>
      </c>
      <c r="H99" s="388" t="s">
        <v>365</v>
      </c>
      <c r="I99" s="386">
        <v>2500</v>
      </c>
      <c r="J99" s="387"/>
      <c r="K99" s="386">
        <v>2500</v>
      </c>
      <c r="L99" s="385">
        <f>K99*0.09</f>
        <v>225</v>
      </c>
      <c r="M99" s="385">
        <v>50</v>
      </c>
      <c r="N99" s="440">
        <f>SUM(K99:M99)</f>
        <v>2775</v>
      </c>
      <c r="O99" s="286"/>
      <c r="P99" s="286"/>
      <c r="Q99" s="286"/>
      <c r="R99" s="286"/>
      <c r="S99" s="286"/>
      <c r="T99" s="285"/>
    </row>
    <row r="100" spans="1:20" ht="102" x14ac:dyDescent="0.2">
      <c r="A100" s="384" t="s">
        <v>506</v>
      </c>
      <c r="B100" s="287" t="s">
        <v>368</v>
      </c>
      <c r="C100" s="287" t="s">
        <v>502</v>
      </c>
      <c r="D100" s="383" t="s">
        <v>501</v>
      </c>
      <c r="E100" s="382" t="s">
        <v>505</v>
      </c>
      <c r="F100" s="380" t="s">
        <v>36</v>
      </c>
      <c r="G100" s="380" t="s">
        <v>30</v>
      </c>
      <c r="H100" s="381" t="s">
        <v>413</v>
      </c>
      <c r="I100" s="379">
        <v>4000</v>
      </c>
      <c r="J100" s="384"/>
      <c r="K100" s="379">
        <v>4000</v>
      </c>
      <c r="L100" s="378">
        <f>K100*0.09</f>
        <v>360</v>
      </c>
      <c r="M100" s="378">
        <v>0</v>
      </c>
      <c r="N100" s="441">
        <f>SUM(K100:M100)</f>
        <v>4360</v>
      </c>
      <c r="O100" s="286"/>
      <c r="P100" s="286"/>
      <c r="Q100" s="286" t="s">
        <v>31</v>
      </c>
      <c r="R100" s="286" t="s">
        <v>31</v>
      </c>
      <c r="S100" s="286"/>
      <c r="T100" s="285"/>
    </row>
    <row r="101" spans="1:20" ht="51" x14ac:dyDescent="0.2">
      <c r="A101" s="384" t="s">
        <v>506</v>
      </c>
      <c r="B101" s="287" t="s">
        <v>368</v>
      </c>
      <c r="C101" s="287" t="s">
        <v>108</v>
      </c>
      <c r="D101" s="383" t="s">
        <v>500</v>
      </c>
      <c r="E101" s="382" t="s">
        <v>505</v>
      </c>
      <c r="F101" s="380" t="s">
        <v>36</v>
      </c>
      <c r="G101" s="380" t="s">
        <v>30</v>
      </c>
      <c r="H101" s="381" t="s">
        <v>413</v>
      </c>
      <c r="I101" s="379">
        <v>3000</v>
      </c>
      <c r="J101" s="384"/>
      <c r="K101" s="379">
        <v>3000</v>
      </c>
      <c r="L101" s="378">
        <f>K101*0.09</f>
        <v>270</v>
      </c>
      <c r="M101" s="378">
        <v>60</v>
      </c>
      <c r="N101" s="441">
        <f>SUM(K101:M101)</f>
        <v>3330</v>
      </c>
      <c r="O101" s="286"/>
      <c r="P101" s="286"/>
      <c r="Q101" s="286" t="s">
        <v>31</v>
      </c>
      <c r="R101" s="286" t="s">
        <v>31</v>
      </c>
      <c r="S101" s="286"/>
      <c r="T101" s="285"/>
    </row>
    <row r="102" spans="1:20" ht="51" x14ac:dyDescent="0.2">
      <c r="A102" s="384" t="s">
        <v>506</v>
      </c>
      <c r="B102" s="287" t="s">
        <v>368</v>
      </c>
      <c r="C102" s="287" t="s">
        <v>499</v>
      </c>
      <c r="D102" s="383" t="s">
        <v>498</v>
      </c>
      <c r="E102" s="382" t="s">
        <v>505</v>
      </c>
      <c r="F102" s="380" t="s">
        <v>36</v>
      </c>
      <c r="G102" s="380" t="s">
        <v>30</v>
      </c>
      <c r="H102" s="381" t="s">
        <v>497</v>
      </c>
      <c r="I102" s="379">
        <v>2000</v>
      </c>
      <c r="J102" s="384"/>
      <c r="K102" s="379">
        <v>2000</v>
      </c>
      <c r="L102" s="378">
        <f>K102*0.09</f>
        <v>180</v>
      </c>
      <c r="M102" s="378">
        <v>40</v>
      </c>
      <c r="N102" s="441">
        <f>SUM(K102:M102)</f>
        <v>2220</v>
      </c>
      <c r="O102" s="286"/>
      <c r="P102" s="286"/>
      <c r="Q102" s="286" t="s">
        <v>31</v>
      </c>
      <c r="R102" s="286" t="s">
        <v>31</v>
      </c>
      <c r="S102" s="286"/>
      <c r="T102" s="285"/>
    </row>
    <row r="103" spans="1:20" ht="51" x14ac:dyDescent="0.2">
      <c r="A103" s="384" t="s">
        <v>506</v>
      </c>
      <c r="B103" s="287" t="s">
        <v>368</v>
      </c>
      <c r="C103" s="287" t="s">
        <v>386</v>
      </c>
      <c r="D103" s="383" t="s">
        <v>385</v>
      </c>
      <c r="E103" s="382" t="s">
        <v>505</v>
      </c>
      <c r="F103" s="380" t="s">
        <v>36</v>
      </c>
      <c r="G103" s="380" t="s">
        <v>30</v>
      </c>
      <c r="H103" s="381" t="s">
        <v>121</v>
      </c>
      <c r="I103" s="379">
        <v>3000</v>
      </c>
      <c r="J103" s="380"/>
      <c r="K103" s="379">
        <v>3000</v>
      </c>
      <c r="L103" s="378">
        <v>0</v>
      </c>
      <c r="M103" s="378">
        <v>0</v>
      </c>
      <c r="N103" s="441">
        <f>SUM(K103:M103)</f>
        <v>3000</v>
      </c>
      <c r="O103" s="286"/>
      <c r="P103" s="286"/>
      <c r="Q103" s="286" t="s">
        <v>31</v>
      </c>
      <c r="R103" s="286" t="s">
        <v>31</v>
      </c>
      <c r="S103" s="286"/>
      <c r="T103" s="285"/>
    </row>
    <row r="104" spans="1:20" ht="51" x14ac:dyDescent="0.2">
      <c r="A104" s="371" t="s">
        <v>369</v>
      </c>
      <c r="B104" s="371" t="s">
        <v>25</v>
      </c>
      <c r="C104" s="371" t="s">
        <v>381</v>
      </c>
      <c r="D104" s="374" t="s">
        <v>418</v>
      </c>
      <c r="E104" s="373" t="s">
        <v>366</v>
      </c>
      <c r="F104" s="372" t="s">
        <v>36</v>
      </c>
      <c r="G104" s="372" t="s">
        <v>30</v>
      </c>
      <c r="H104" s="371" t="s">
        <v>417</v>
      </c>
      <c r="I104" s="370">
        <v>500</v>
      </c>
      <c r="J104" s="369">
        <v>1</v>
      </c>
      <c r="K104" s="368">
        <v>500</v>
      </c>
      <c r="L104" s="368"/>
      <c r="M104" s="368"/>
      <c r="N104" s="442">
        <v>500</v>
      </c>
      <c r="O104" s="286"/>
      <c r="P104" s="286"/>
      <c r="Q104" s="286"/>
      <c r="R104" s="286"/>
      <c r="S104" s="286"/>
      <c r="T104" s="285"/>
    </row>
    <row r="105" spans="1:20" ht="68" x14ac:dyDescent="0.2">
      <c r="A105" s="371" t="s">
        <v>369</v>
      </c>
      <c r="B105" s="371" t="s">
        <v>25</v>
      </c>
      <c r="C105" s="371" t="s">
        <v>381</v>
      </c>
      <c r="D105" s="374" t="s">
        <v>504</v>
      </c>
      <c r="E105" s="373" t="s">
        <v>366</v>
      </c>
      <c r="F105" s="372" t="s">
        <v>36</v>
      </c>
      <c r="G105" s="372" t="s">
        <v>30</v>
      </c>
      <c r="H105" s="371" t="s">
        <v>413</v>
      </c>
      <c r="I105" s="370">
        <v>3000</v>
      </c>
      <c r="J105" s="369">
        <v>1</v>
      </c>
      <c r="K105" s="368">
        <v>3000</v>
      </c>
      <c r="L105" s="368"/>
      <c r="M105" s="368"/>
      <c r="N105" s="442">
        <v>3000</v>
      </c>
      <c r="O105" s="286"/>
      <c r="P105" s="286"/>
      <c r="Q105" s="286" t="s">
        <v>31</v>
      </c>
      <c r="R105" s="286" t="s">
        <v>31</v>
      </c>
      <c r="S105" s="286"/>
      <c r="T105" s="285"/>
    </row>
    <row r="106" spans="1:20" ht="51" x14ac:dyDescent="0.2">
      <c r="A106" s="371" t="s">
        <v>369</v>
      </c>
      <c r="B106" s="371" t="s">
        <v>25</v>
      </c>
      <c r="C106" s="371" t="s">
        <v>415</v>
      </c>
      <c r="D106" s="374" t="s">
        <v>414</v>
      </c>
      <c r="E106" s="373" t="s">
        <v>366</v>
      </c>
      <c r="F106" s="372" t="s">
        <v>36</v>
      </c>
      <c r="G106" s="372" t="s">
        <v>30</v>
      </c>
      <c r="H106" s="371" t="s">
        <v>413</v>
      </c>
      <c r="I106" s="370">
        <v>7500</v>
      </c>
      <c r="J106" s="369">
        <v>1</v>
      </c>
      <c r="K106" s="368">
        <v>7500</v>
      </c>
      <c r="L106" s="368"/>
      <c r="M106" s="368"/>
      <c r="N106" s="442">
        <v>7500</v>
      </c>
      <c r="O106" s="286"/>
      <c r="P106" s="286"/>
      <c r="Q106" s="286" t="s">
        <v>31</v>
      </c>
      <c r="R106" s="286" t="s">
        <v>31</v>
      </c>
      <c r="S106" s="286"/>
      <c r="T106" s="285"/>
    </row>
    <row r="107" spans="1:20" ht="51" x14ac:dyDescent="0.2">
      <c r="A107" s="371" t="s">
        <v>369</v>
      </c>
      <c r="B107" s="371" t="s">
        <v>25</v>
      </c>
      <c r="C107" s="371" t="s">
        <v>415</v>
      </c>
      <c r="D107" s="374" t="s">
        <v>420</v>
      </c>
      <c r="E107" s="373" t="s">
        <v>366</v>
      </c>
      <c r="F107" s="372" t="s">
        <v>36</v>
      </c>
      <c r="G107" s="372" t="s">
        <v>30</v>
      </c>
      <c r="H107" s="372" t="s">
        <v>413</v>
      </c>
      <c r="I107" s="370">
        <v>3107</v>
      </c>
      <c r="J107" s="377">
        <v>1</v>
      </c>
      <c r="K107" s="368">
        <v>3107</v>
      </c>
      <c r="L107" s="368">
        <v>279.63</v>
      </c>
      <c r="M107" s="368">
        <v>150</v>
      </c>
      <c r="N107" s="442">
        <v>3536.63</v>
      </c>
      <c r="O107" s="286"/>
      <c r="P107" s="286"/>
      <c r="Q107" s="286" t="s">
        <v>31</v>
      </c>
      <c r="R107" s="286" t="s">
        <v>31</v>
      </c>
      <c r="S107" s="286"/>
      <c r="T107" s="285"/>
    </row>
    <row r="108" spans="1:20" ht="51" x14ac:dyDescent="0.2">
      <c r="A108" s="371" t="s">
        <v>369</v>
      </c>
      <c r="B108" s="371" t="s">
        <v>25</v>
      </c>
      <c r="C108" s="371" t="s">
        <v>381</v>
      </c>
      <c r="D108" s="374" t="s">
        <v>382</v>
      </c>
      <c r="E108" s="373" t="s">
        <v>366</v>
      </c>
      <c r="F108" s="372" t="s">
        <v>321</v>
      </c>
      <c r="G108" s="372" t="s">
        <v>30</v>
      </c>
      <c r="H108" s="368" t="s">
        <v>32</v>
      </c>
      <c r="I108" s="376">
        <v>5000</v>
      </c>
      <c r="J108" s="375">
        <v>1</v>
      </c>
      <c r="K108" s="368">
        <v>5000</v>
      </c>
      <c r="L108" s="368" t="s">
        <v>32</v>
      </c>
      <c r="M108" s="368"/>
      <c r="N108" s="442">
        <v>5000</v>
      </c>
      <c r="O108" s="286"/>
      <c r="P108" s="286"/>
      <c r="Q108" s="286" t="s">
        <v>31</v>
      </c>
      <c r="R108" s="286" t="s">
        <v>31</v>
      </c>
      <c r="S108" s="286"/>
      <c r="T108" s="285"/>
    </row>
    <row r="109" spans="1:20" ht="51" x14ac:dyDescent="0.2">
      <c r="A109" s="371" t="s">
        <v>369</v>
      </c>
      <c r="B109" s="371" t="s">
        <v>25</v>
      </c>
      <c r="C109" s="371" t="s">
        <v>381</v>
      </c>
      <c r="D109" s="374" t="s">
        <v>380</v>
      </c>
      <c r="E109" s="373" t="s">
        <v>366</v>
      </c>
      <c r="F109" s="372" t="s">
        <v>321</v>
      </c>
      <c r="G109" s="372" t="s">
        <v>30</v>
      </c>
      <c r="H109" s="371"/>
      <c r="I109" s="370">
        <v>10000</v>
      </c>
      <c r="J109" s="369">
        <v>1</v>
      </c>
      <c r="K109" s="368">
        <v>10000</v>
      </c>
      <c r="L109" s="368"/>
      <c r="M109" s="368"/>
      <c r="N109" s="442">
        <v>10000</v>
      </c>
      <c r="O109" s="286"/>
      <c r="P109" s="286"/>
      <c r="Q109" s="286" t="s">
        <v>31</v>
      </c>
      <c r="R109" s="286" t="s">
        <v>31</v>
      </c>
      <c r="S109" s="286"/>
      <c r="T109" s="285"/>
    </row>
    <row r="110" spans="1:20" ht="51" x14ac:dyDescent="0.2">
      <c r="A110" s="371" t="s">
        <v>369</v>
      </c>
      <c r="B110" s="371" t="s">
        <v>25</v>
      </c>
      <c r="C110" s="371" t="s">
        <v>66</v>
      </c>
      <c r="D110" s="374" t="s">
        <v>379</v>
      </c>
      <c r="E110" s="373" t="s">
        <v>366</v>
      </c>
      <c r="F110" s="372" t="s">
        <v>321</v>
      </c>
      <c r="G110" s="372" t="s">
        <v>30</v>
      </c>
      <c r="H110" s="371"/>
      <c r="I110" s="370">
        <v>7500</v>
      </c>
      <c r="J110" s="369">
        <v>1</v>
      </c>
      <c r="K110" s="368">
        <v>5000</v>
      </c>
      <c r="L110" s="368"/>
      <c r="M110" s="368"/>
      <c r="N110" s="442">
        <v>5000</v>
      </c>
      <c r="O110" s="286"/>
      <c r="P110" s="286"/>
      <c r="Q110" s="286" t="s">
        <v>31</v>
      </c>
      <c r="R110" s="286" t="s">
        <v>31</v>
      </c>
      <c r="S110" s="286"/>
      <c r="T110" s="285"/>
    </row>
    <row r="111" spans="1:20" ht="51" x14ac:dyDescent="0.2">
      <c r="A111" s="371" t="s">
        <v>369</v>
      </c>
      <c r="B111" s="371" t="s">
        <v>25</v>
      </c>
      <c r="C111" s="371" t="s">
        <v>381</v>
      </c>
      <c r="D111" s="374" t="s">
        <v>383</v>
      </c>
      <c r="E111" s="373" t="s">
        <v>366</v>
      </c>
      <c r="F111" s="372" t="s">
        <v>321</v>
      </c>
      <c r="G111" s="372" t="s">
        <v>30</v>
      </c>
      <c r="H111" s="371"/>
      <c r="I111" s="370">
        <v>5000</v>
      </c>
      <c r="J111" s="369">
        <v>1</v>
      </c>
      <c r="K111" s="368">
        <v>5000</v>
      </c>
      <c r="L111" s="368"/>
      <c r="M111" s="368"/>
      <c r="N111" s="442">
        <v>5000</v>
      </c>
      <c r="O111" s="286"/>
      <c r="P111" s="286"/>
      <c r="Q111" s="286" t="s">
        <v>31</v>
      </c>
      <c r="R111" s="286" t="s">
        <v>31</v>
      </c>
      <c r="S111" s="286"/>
      <c r="T111" s="285"/>
    </row>
    <row r="112" spans="1:20" ht="51" x14ac:dyDescent="0.2">
      <c r="A112" s="371" t="s">
        <v>369</v>
      </c>
      <c r="B112" s="371" t="s">
        <v>25</v>
      </c>
      <c r="C112" s="371" t="s">
        <v>381</v>
      </c>
      <c r="D112" s="374" t="s">
        <v>416</v>
      </c>
      <c r="E112" s="373" t="s">
        <v>366</v>
      </c>
      <c r="F112" s="372" t="s">
        <v>36</v>
      </c>
      <c r="G112" s="372" t="s">
        <v>30</v>
      </c>
      <c r="H112" s="371" t="s">
        <v>413</v>
      </c>
      <c r="I112" s="370">
        <v>3000</v>
      </c>
      <c r="J112" s="369">
        <v>1</v>
      </c>
      <c r="K112" s="368">
        <v>3000</v>
      </c>
      <c r="L112" s="368"/>
      <c r="M112" s="368"/>
      <c r="N112" s="442">
        <v>3000</v>
      </c>
      <c r="O112" s="286"/>
      <c r="P112" s="286"/>
      <c r="Q112" s="286" t="s">
        <v>31</v>
      </c>
      <c r="R112" s="286" t="s">
        <v>31</v>
      </c>
      <c r="S112" s="286"/>
      <c r="T112" s="285"/>
    </row>
    <row r="113" spans="1:20" ht="51" x14ac:dyDescent="0.2">
      <c r="A113" s="371" t="s">
        <v>369</v>
      </c>
      <c r="B113" s="371" t="s">
        <v>25</v>
      </c>
      <c r="C113" s="371" t="s">
        <v>389</v>
      </c>
      <c r="D113" s="374" t="s">
        <v>390</v>
      </c>
      <c r="E113" s="373" t="s">
        <v>366</v>
      </c>
      <c r="F113" s="372" t="s">
        <v>36</v>
      </c>
      <c r="G113" s="372" t="s">
        <v>30</v>
      </c>
      <c r="H113" s="371"/>
      <c r="I113" s="370">
        <v>50000</v>
      </c>
      <c r="J113" s="369">
        <v>1</v>
      </c>
      <c r="K113" s="368">
        <v>50000</v>
      </c>
      <c r="L113" s="368"/>
      <c r="M113" s="368"/>
      <c r="N113" s="442">
        <v>50000</v>
      </c>
      <c r="O113" s="286"/>
      <c r="P113" s="286"/>
      <c r="Q113" s="286" t="s">
        <v>31</v>
      </c>
      <c r="R113" s="286" t="s">
        <v>31</v>
      </c>
      <c r="S113" s="286"/>
      <c r="T113" s="285"/>
    </row>
    <row r="114" spans="1:20" ht="51" x14ac:dyDescent="0.2">
      <c r="A114" s="371" t="s">
        <v>369</v>
      </c>
      <c r="B114" s="371" t="s">
        <v>25</v>
      </c>
      <c r="C114" s="371" t="s">
        <v>389</v>
      </c>
      <c r="D114" s="374" t="s">
        <v>388</v>
      </c>
      <c r="E114" s="373" t="s">
        <v>366</v>
      </c>
      <c r="F114" s="372" t="s">
        <v>36</v>
      </c>
      <c r="G114" s="372" t="s">
        <v>30</v>
      </c>
      <c r="H114" s="371"/>
      <c r="I114" s="370">
        <v>35000</v>
      </c>
      <c r="J114" s="369">
        <v>1</v>
      </c>
      <c r="K114" s="368">
        <v>35000</v>
      </c>
      <c r="L114" s="368"/>
      <c r="M114" s="368"/>
      <c r="N114" s="442">
        <v>35000</v>
      </c>
      <c r="O114" s="286"/>
      <c r="P114" s="286"/>
      <c r="Q114" s="286" t="s">
        <v>31</v>
      </c>
      <c r="R114" s="286" t="s">
        <v>31</v>
      </c>
      <c r="S114" s="286"/>
      <c r="T114" s="285"/>
    </row>
    <row r="115" spans="1:20" s="460" customFormat="1" ht="51" x14ac:dyDescent="0.2">
      <c r="A115" s="329" t="s">
        <v>423</v>
      </c>
      <c r="B115" s="329" t="s">
        <v>25</v>
      </c>
      <c r="C115" s="329" t="s">
        <v>415</v>
      </c>
      <c r="D115" s="332" t="s">
        <v>422</v>
      </c>
      <c r="E115" s="331" t="s">
        <v>421</v>
      </c>
      <c r="F115" s="330" t="s">
        <v>36</v>
      </c>
      <c r="G115" s="330" t="s">
        <v>30</v>
      </c>
      <c r="H115" s="330" t="s">
        <v>413</v>
      </c>
      <c r="I115" s="328">
        <v>8000</v>
      </c>
      <c r="J115" s="458">
        <v>2</v>
      </c>
      <c r="K115" s="327">
        <v>16000</v>
      </c>
      <c r="L115" s="327">
        <v>1440</v>
      </c>
      <c r="M115" s="327">
        <v>150</v>
      </c>
      <c r="N115" s="326">
        <v>17590</v>
      </c>
      <c r="O115" s="459"/>
      <c r="P115" s="459"/>
      <c r="Q115" s="459" t="s">
        <v>31</v>
      </c>
      <c r="R115" s="459" t="s">
        <v>31</v>
      </c>
      <c r="S115" s="459"/>
      <c r="T115" s="459"/>
    </row>
    <row r="116" spans="1:20" s="460" customFormat="1" ht="51" x14ac:dyDescent="0.2">
      <c r="A116" s="329" t="s">
        <v>369</v>
      </c>
      <c r="B116" s="329" t="s">
        <v>25</v>
      </c>
      <c r="C116" s="329" t="s">
        <v>415</v>
      </c>
      <c r="D116" s="332" t="s">
        <v>419</v>
      </c>
      <c r="E116" s="331" t="s">
        <v>366</v>
      </c>
      <c r="F116" s="330" t="s">
        <v>36</v>
      </c>
      <c r="G116" s="330" t="s">
        <v>30</v>
      </c>
      <c r="H116" s="330" t="s">
        <v>413</v>
      </c>
      <c r="I116" s="328">
        <v>947</v>
      </c>
      <c r="J116" s="458">
        <v>1</v>
      </c>
      <c r="K116" s="327">
        <v>947</v>
      </c>
      <c r="L116" s="327">
        <v>85.22999999999999</v>
      </c>
      <c r="M116" s="327">
        <v>0</v>
      </c>
      <c r="N116" s="326">
        <v>1032.23</v>
      </c>
      <c r="O116" s="459"/>
      <c r="P116" s="459"/>
      <c r="Q116" s="459" t="s">
        <v>31</v>
      </c>
      <c r="R116" s="459" t="s">
        <v>31</v>
      </c>
      <c r="S116" s="459"/>
      <c r="T116" s="459"/>
    </row>
    <row r="117" spans="1:20" customFormat="1" ht="51" x14ac:dyDescent="0.2">
      <c r="A117" s="300" t="s">
        <v>369</v>
      </c>
      <c r="B117" s="304" t="s">
        <v>368</v>
      </c>
      <c r="C117" s="304" t="s">
        <v>66</v>
      </c>
      <c r="D117" s="303" t="s">
        <v>367</v>
      </c>
      <c r="E117" s="302" t="s">
        <v>366</v>
      </c>
      <c r="F117" s="301" t="s">
        <v>321</v>
      </c>
      <c r="G117" s="301" t="s">
        <v>30</v>
      </c>
      <c r="H117" s="300" t="s">
        <v>365</v>
      </c>
      <c r="I117" s="299">
        <v>3000</v>
      </c>
      <c r="J117" s="298">
        <v>1</v>
      </c>
      <c r="K117" s="297">
        <v>3000</v>
      </c>
      <c r="L117" s="297"/>
      <c r="M117" s="297"/>
      <c r="N117" s="296">
        <v>3000</v>
      </c>
      <c r="O117" s="272"/>
      <c r="P117" s="272"/>
      <c r="Q117" s="272"/>
      <c r="R117" s="272"/>
      <c r="S117" s="272"/>
      <c r="T117" s="272"/>
    </row>
    <row r="118" spans="1:20" customFormat="1" ht="17" customHeight="1" x14ac:dyDescent="0.2">
      <c r="A118" s="464"/>
      <c r="B118" s="464"/>
      <c r="C118" s="464"/>
      <c r="D118" s="464"/>
      <c r="E118" s="464"/>
      <c r="F118" s="464"/>
      <c r="G118" s="464"/>
      <c r="H118" s="464"/>
      <c r="I118" s="464"/>
      <c r="J118" s="464"/>
      <c r="K118" s="464"/>
      <c r="L118" s="464"/>
      <c r="M118" s="464"/>
      <c r="N118" s="464"/>
      <c r="O118" s="464"/>
      <c r="P118" s="464"/>
      <c r="Q118" s="464"/>
      <c r="R118" s="464"/>
      <c r="S118" s="464"/>
      <c r="T118" s="464"/>
    </row>
    <row r="119" spans="1:20" s="469" customFormat="1" x14ac:dyDescent="0.2"/>
    <row r="120" spans="1:20" s="469" customFormat="1" x14ac:dyDescent="0.2">
      <c r="A120" s="470"/>
      <c r="B120" s="471"/>
      <c r="C120" s="472"/>
      <c r="D120" s="473"/>
      <c r="E120" s="474"/>
      <c r="F120" s="475"/>
      <c r="G120" s="475"/>
      <c r="H120" s="470"/>
      <c r="I120" s="476"/>
      <c r="J120" s="475"/>
      <c r="K120" s="477"/>
      <c r="L120" s="477"/>
      <c r="M120" s="477"/>
      <c r="N120" s="478"/>
    </row>
    <row r="121" spans="1:20" s="487" customFormat="1" x14ac:dyDescent="0.2">
      <c r="A121" s="479"/>
      <c r="B121" s="479"/>
      <c r="C121" s="479"/>
      <c r="D121" s="480"/>
      <c r="E121" s="481"/>
      <c r="F121" s="482"/>
      <c r="G121" s="482"/>
      <c r="H121" s="479"/>
      <c r="I121" s="483"/>
      <c r="J121" s="484"/>
      <c r="K121" s="485"/>
      <c r="L121" s="485"/>
      <c r="M121" s="485"/>
      <c r="N121" s="486"/>
      <c r="T121" s="488"/>
    </row>
    <row r="122" spans="1:20" s="487" customFormat="1" x14ac:dyDescent="0.2">
      <c r="F122" s="489"/>
      <c r="G122" s="489"/>
      <c r="H122" s="489"/>
      <c r="T122" s="488"/>
    </row>
    <row r="123" spans="1:20" x14ac:dyDescent="0.2">
      <c r="A123" s="465" t="s">
        <v>279</v>
      </c>
      <c r="B123" s="465"/>
      <c r="C123" s="465"/>
      <c r="D123" s="465"/>
      <c r="E123" s="465"/>
      <c r="F123" s="465"/>
      <c r="G123" s="465"/>
      <c r="H123" s="465"/>
      <c r="I123" s="465"/>
      <c r="J123" s="465"/>
      <c r="K123" s="465"/>
      <c r="L123" s="465"/>
      <c r="M123" s="465"/>
      <c r="N123" s="466">
        <f>SUM(N97:N121)</f>
        <v>194843.86000000002</v>
      </c>
      <c r="O123" s="467"/>
      <c r="P123" s="467"/>
      <c r="Q123" s="467"/>
      <c r="R123" s="467"/>
      <c r="S123" s="467"/>
      <c r="T123" s="468"/>
    </row>
    <row r="126" spans="1:20" x14ac:dyDescent="0.2">
      <c r="L126" s="282"/>
      <c r="M126" s="284" t="s">
        <v>337</v>
      </c>
      <c r="N126" s="283">
        <v>1013787.44</v>
      </c>
      <c r="O126" s="282"/>
    </row>
  </sheetData>
  <mergeCells count="14">
    <mergeCell ref="A49:M49"/>
    <mergeCell ref="A27:M27"/>
    <mergeCell ref="E47:E48"/>
    <mergeCell ref="E35:E46"/>
    <mergeCell ref="E6:E26"/>
    <mergeCell ref="A123:M123"/>
    <mergeCell ref="T4:T5"/>
    <mergeCell ref="B1:N1"/>
    <mergeCell ref="B2:R2"/>
    <mergeCell ref="B3:R3"/>
    <mergeCell ref="A4:N4"/>
    <mergeCell ref="O4:S4"/>
    <mergeCell ref="B50:N50"/>
    <mergeCell ref="A34:M34"/>
  </mergeCells>
  <dataValidations count="1">
    <dataValidation allowBlank="1" showInputMessage="1" showErrorMessage="1" promptTitle="Enter Justification" sqref="E6 E35 E97 E71 E28:E33 E115:E117" xr:uid="{00000000-0002-0000-0000-000000000000}"/>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D048-16ED-F941-AB1E-5DDE16CBFD85}">
  <dimension ref="A1:T21"/>
  <sheetViews>
    <sheetView zoomScale="76" zoomScaleNormal="76" workbookViewId="0">
      <selection activeCell="M18" sqref="M18"/>
    </sheetView>
  </sheetViews>
  <sheetFormatPr baseColWidth="10" defaultColWidth="11.1640625" defaultRowHeight="14" x14ac:dyDescent="0.2"/>
  <cols>
    <col min="1" max="1" width="11.1640625" style="14" customWidth="1"/>
    <col min="2" max="2" width="15.83203125" style="14" customWidth="1"/>
    <col min="3" max="3" width="13" style="53" customWidth="1"/>
    <col min="4" max="4" width="22.6640625" style="14" customWidth="1"/>
    <col min="5" max="5" width="46.5" style="14" customWidth="1"/>
    <col min="6" max="7" width="11.1640625" style="155" customWidth="1"/>
    <col min="8" max="8" width="10.1640625" style="155" customWidth="1"/>
    <col min="9" max="9" width="13.1640625" style="14" customWidth="1"/>
    <col min="10" max="10" width="11.1640625" style="14" customWidth="1"/>
    <col min="11" max="11" width="13.6640625" style="14" customWidth="1"/>
    <col min="12" max="12" width="12.1640625" style="14" customWidth="1"/>
    <col min="13" max="13" width="11.1640625" style="14" customWidth="1"/>
    <col min="14" max="14" width="14.6640625" style="14" customWidth="1"/>
    <col min="15" max="19" width="11.1640625" style="14" customWidth="1"/>
    <col min="20" max="20" width="31.1640625" style="56" customWidth="1"/>
    <col min="21" max="16384" width="11.1640625" style="14"/>
  </cols>
  <sheetData>
    <row r="1" spans="1:20" x14ac:dyDescent="0.2">
      <c r="B1" s="193" t="s">
        <v>0</v>
      </c>
      <c r="C1" s="193"/>
      <c r="D1" s="193"/>
      <c r="E1" s="193"/>
      <c r="F1" s="193"/>
      <c r="G1" s="193"/>
      <c r="H1" s="193"/>
      <c r="I1" s="193"/>
      <c r="J1" s="193"/>
      <c r="K1" s="193"/>
      <c r="L1" s="193"/>
      <c r="M1" s="193"/>
      <c r="N1" s="193"/>
      <c r="O1" s="155"/>
      <c r="P1" s="155"/>
      <c r="Q1" s="155"/>
      <c r="R1" s="155"/>
    </row>
    <row r="2" spans="1:20" x14ac:dyDescent="0.2">
      <c r="B2" s="194" t="s">
        <v>236</v>
      </c>
      <c r="C2" s="195"/>
      <c r="D2" s="196"/>
      <c r="E2" s="196"/>
      <c r="F2" s="196"/>
      <c r="G2" s="196"/>
      <c r="H2" s="196"/>
      <c r="I2" s="196"/>
      <c r="J2" s="196"/>
      <c r="K2" s="196"/>
      <c r="L2" s="196"/>
      <c r="M2" s="196"/>
      <c r="N2" s="196"/>
      <c r="O2" s="196"/>
      <c r="P2" s="196"/>
      <c r="Q2" s="196"/>
      <c r="R2" s="197"/>
    </row>
    <row r="3" spans="1:20" ht="94.5" customHeight="1" x14ac:dyDescent="0.2">
      <c r="B3" s="198" t="s">
        <v>237</v>
      </c>
      <c r="C3" s="199"/>
      <c r="D3" s="200"/>
      <c r="E3" s="200"/>
      <c r="F3" s="200"/>
      <c r="G3" s="200"/>
      <c r="H3" s="200"/>
      <c r="I3" s="200"/>
      <c r="J3" s="200"/>
      <c r="K3" s="200"/>
      <c r="L3" s="200"/>
      <c r="M3" s="200"/>
      <c r="N3" s="200"/>
      <c r="O3" s="200"/>
      <c r="P3" s="200"/>
      <c r="Q3" s="200"/>
      <c r="R3" s="200"/>
    </row>
    <row r="4" spans="1:20" ht="21.5" customHeight="1" x14ac:dyDescent="0.2">
      <c r="A4" s="201"/>
      <c r="B4" s="201"/>
      <c r="C4" s="201"/>
      <c r="D4" s="201"/>
      <c r="E4" s="201"/>
      <c r="F4" s="201"/>
      <c r="G4" s="201"/>
      <c r="H4" s="201"/>
      <c r="I4" s="201"/>
      <c r="J4" s="201"/>
      <c r="K4" s="201"/>
      <c r="L4" s="201"/>
      <c r="M4" s="201"/>
      <c r="N4" s="201"/>
      <c r="O4" s="202" t="s">
        <v>3</v>
      </c>
      <c r="P4" s="202"/>
      <c r="Q4" s="202"/>
      <c r="R4" s="202"/>
      <c r="S4" s="202"/>
      <c r="T4" s="203" t="s">
        <v>4</v>
      </c>
    </row>
    <row r="5" spans="1:20" ht="135" x14ac:dyDescent="0.2">
      <c r="A5" s="156" t="s">
        <v>5</v>
      </c>
      <c r="B5" s="157" t="s">
        <v>6</v>
      </c>
      <c r="C5" s="158" t="s">
        <v>238</v>
      </c>
      <c r="D5" s="159" t="s">
        <v>8</v>
      </c>
      <c r="E5" s="159" t="s">
        <v>9</v>
      </c>
      <c r="F5" s="156" t="s">
        <v>10</v>
      </c>
      <c r="G5" s="156" t="s">
        <v>11</v>
      </c>
      <c r="H5" s="156" t="s">
        <v>12</v>
      </c>
      <c r="I5" s="156" t="s">
        <v>13</v>
      </c>
      <c r="J5" s="156" t="s">
        <v>14</v>
      </c>
      <c r="K5" s="207" t="s">
        <v>15</v>
      </c>
      <c r="L5" s="156" t="s">
        <v>239</v>
      </c>
      <c r="M5" s="156" t="s">
        <v>17</v>
      </c>
      <c r="N5" s="156" t="s">
        <v>18</v>
      </c>
      <c r="O5" s="160" t="s">
        <v>19</v>
      </c>
      <c r="P5" s="160" t="s">
        <v>20</v>
      </c>
      <c r="Q5" s="160" t="s">
        <v>21</v>
      </c>
      <c r="R5" s="160" t="s">
        <v>22</v>
      </c>
      <c r="S5" s="160" t="s">
        <v>66</v>
      </c>
      <c r="T5" s="203"/>
    </row>
    <row r="6" spans="1:20" ht="89" customHeight="1" x14ac:dyDescent="0.2">
      <c r="A6" s="161" t="s">
        <v>240</v>
      </c>
      <c r="B6" s="162" t="s">
        <v>241</v>
      </c>
      <c r="C6" s="163" t="s">
        <v>159</v>
      </c>
      <c r="D6" s="164" t="s">
        <v>242</v>
      </c>
      <c r="E6" s="164" t="s">
        <v>243</v>
      </c>
      <c r="F6" s="165" t="s">
        <v>36</v>
      </c>
      <c r="G6" s="165" t="s">
        <v>244</v>
      </c>
      <c r="H6" s="166"/>
      <c r="I6" s="167">
        <v>500000</v>
      </c>
      <c r="J6" s="168">
        <v>1</v>
      </c>
      <c r="K6" s="206">
        <f>I6*J6</f>
        <v>500000</v>
      </c>
      <c r="L6" s="206"/>
      <c r="M6" s="205">
        <v>0</v>
      </c>
      <c r="N6" s="169">
        <f>K6+L6+M6</f>
        <v>500000</v>
      </c>
      <c r="O6" s="170"/>
      <c r="P6" s="170"/>
      <c r="Q6" s="170"/>
      <c r="R6" s="170"/>
      <c r="S6" s="171"/>
      <c r="T6" s="172" t="s">
        <v>245</v>
      </c>
    </row>
    <row r="7" spans="1:20" ht="89" customHeight="1" x14ac:dyDescent="0.2">
      <c r="A7" s="161" t="s">
        <v>240</v>
      </c>
      <c r="B7" s="162" t="s">
        <v>241</v>
      </c>
      <c r="C7" s="163" t="s">
        <v>159</v>
      </c>
      <c r="D7" s="164" t="s">
        <v>246</v>
      </c>
      <c r="E7" s="164" t="s">
        <v>247</v>
      </c>
      <c r="F7" s="165" t="s">
        <v>36</v>
      </c>
      <c r="G7" s="165" t="s">
        <v>244</v>
      </c>
      <c r="H7" s="166"/>
      <c r="I7" s="167">
        <v>375000</v>
      </c>
      <c r="J7" s="168">
        <v>1</v>
      </c>
      <c r="K7" s="206">
        <f>I7*J7</f>
        <v>375000</v>
      </c>
      <c r="L7" s="206"/>
      <c r="M7" s="205">
        <v>0</v>
      </c>
      <c r="N7" s="169">
        <f>K7+L7+M7</f>
        <v>375000</v>
      </c>
      <c r="O7" s="170"/>
      <c r="P7" s="170"/>
      <c r="Q7" s="170"/>
      <c r="R7" s="170"/>
      <c r="S7" s="171"/>
      <c r="T7" s="172" t="s">
        <v>245</v>
      </c>
    </row>
    <row r="8" spans="1:20" ht="89" customHeight="1" x14ac:dyDescent="0.2">
      <c r="A8" s="161" t="s">
        <v>240</v>
      </c>
      <c r="B8" s="162" t="s">
        <v>241</v>
      </c>
      <c r="C8" s="163" t="s">
        <v>159</v>
      </c>
      <c r="D8" s="164" t="s">
        <v>248</v>
      </c>
      <c r="E8" s="164" t="s">
        <v>249</v>
      </c>
      <c r="F8" s="165" t="s">
        <v>36</v>
      </c>
      <c r="G8" s="165" t="s">
        <v>244</v>
      </c>
      <c r="H8" s="166"/>
      <c r="I8" s="167">
        <v>549000</v>
      </c>
      <c r="J8" s="168">
        <v>1</v>
      </c>
      <c r="K8" s="206">
        <f>I8*J8</f>
        <v>549000</v>
      </c>
      <c r="L8" s="206"/>
      <c r="M8" s="205">
        <v>0</v>
      </c>
      <c r="N8" s="169">
        <f>K8+L8+M8</f>
        <v>549000</v>
      </c>
      <c r="O8" s="170"/>
      <c r="P8" s="170"/>
      <c r="Q8" s="170"/>
      <c r="R8" s="170"/>
      <c r="S8" s="171"/>
      <c r="T8" s="172" t="s">
        <v>245</v>
      </c>
    </row>
    <row r="9" spans="1:20" ht="89" customHeight="1" x14ac:dyDescent="0.2">
      <c r="A9" s="161" t="s">
        <v>240</v>
      </c>
      <c r="B9" s="162" t="s">
        <v>241</v>
      </c>
      <c r="C9" s="163" t="s">
        <v>250</v>
      </c>
      <c r="D9" s="173" t="s">
        <v>251</v>
      </c>
      <c r="E9" s="164" t="s">
        <v>252</v>
      </c>
      <c r="F9" s="165" t="s">
        <v>36</v>
      </c>
      <c r="G9" s="165" t="s">
        <v>244</v>
      </c>
      <c r="H9" s="174">
        <v>1</v>
      </c>
      <c r="I9" s="166">
        <v>17500</v>
      </c>
      <c r="J9" s="168">
        <v>1</v>
      </c>
      <c r="K9" s="206">
        <f>I9*J9</f>
        <v>17500</v>
      </c>
      <c r="L9" s="206"/>
      <c r="M9" s="205">
        <v>0</v>
      </c>
      <c r="N9" s="169">
        <f>K9+L9+M9</f>
        <v>17500</v>
      </c>
      <c r="O9" s="170"/>
      <c r="P9" s="170"/>
      <c r="Q9" s="170"/>
      <c r="R9" s="170"/>
      <c r="S9" s="171"/>
      <c r="T9" s="172"/>
    </row>
    <row r="10" spans="1:20" ht="89" customHeight="1" x14ac:dyDescent="0.2">
      <c r="A10" s="161" t="s">
        <v>240</v>
      </c>
      <c r="B10" s="162" t="s">
        <v>241</v>
      </c>
      <c r="C10" s="163" t="s">
        <v>108</v>
      </c>
      <c r="D10" s="173" t="s">
        <v>253</v>
      </c>
      <c r="E10" s="164" t="s">
        <v>254</v>
      </c>
      <c r="F10" s="165" t="s">
        <v>36</v>
      </c>
      <c r="G10" s="165" t="s">
        <v>244</v>
      </c>
      <c r="H10" s="166"/>
      <c r="I10" s="166">
        <v>100000</v>
      </c>
      <c r="J10" s="168">
        <v>1</v>
      </c>
      <c r="K10" s="206">
        <f>I10*J10</f>
        <v>100000</v>
      </c>
      <c r="L10" s="206"/>
      <c r="M10" s="205">
        <v>0</v>
      </c>
      <c r="N10" s="169">
        <f>K10+L10+M10</f>
        <v>100000</v>
      </c>
      <c r="O10" s="170"/>
      <c r="P10" s="170"/>
      <c r="Q10" s="170"/>
      <c r="R10" s="170"/>
      <c r="S10" s="171"/>
      <c r="T10" s="172"/>
    </row>
    <row r="11" spans="1:20" ht="89" customHeight="1" x14ac:dyDescent="0.2">
      <c r="A11" s="161" t="s">
        <v>240</v>
      </c>
      <c r="B11" s="175" t="s">
        <v>241</v>
      </c>
      <c r="C11" s="176" t="s">
        <v>255</v>
      </c>
      <c r="D11" s="164" t="s">
        <v>256</v>
      </c>
      <c r="E11" s="164" t="s">
        <v>257</v>
      </c>
      <c r="F11" s="165" t="s">
        <v>36</v>
      </c>
      <c r="G11" s="165" t="s">
        <v>30</v>
      </c>
      <c r="H11" s="173"/>
      <c r="I11" s="167">
        <v>120000</v>
      </c>
      <c r="J11" s="168">
        <v>1</v>
      </c>
      <c r="K11" s="206">
        <f>I11*J11</f>
        <v>120000</v>
      </c>
      <c r="L11" s="205"/>
      <c r="M11" s="205">
        <v>0</v>
      </c>
      <c r="N11" s="169">
        <f>K11+L11+M11</f>
        <v>120000</v>
      </c>
      <c r="O11" s="170"/>
      <c r="P11" s="170"/>
      <c r="Q11" s="170"/>
      <c r="R11" s="170"/>
      <c r="S11" s="171"/>
      <c r="T11" s="172"/>
    </row>
    <row r="12" spans="1:20" ht="89" customHeight="1" x14ac:dyDescent="0.2">
      <c r="A12" s="161" t="s">
        <v>240</v>
      </c>
      <c r="B12" s="163" t="s">
        <v>25</v>
      </c>
      <c r="C12" s="163" t="s">
        <v>108</v>
      </c>
      <c r="D12" s="173" t="s">
        <v>258</v>
      </c>
      <c r="E12" s="164" t="s">
        <v>259</v>
      </c>
      <c r="F12" s="165" t="s">
        <v>36</v>
      </c>
      <c r="G12" s="165" t="s">
        <v>244</v>
      </c>
      <c r="H12" s="166"/>
      <c r="I12" s="166">
        <v>50000</v>
      </c>
      <c r="J12" s="168">
        <v>1</v>
      </c>
      <c r="K12" s="206">
        <f>I12*J12</f>
        <v>50000</v>
      </c>
      <c r="L12" s="206">
        <f>K12*0.09125</f>
        <v>4562.5</v>
      </c>
      <c r="M12" s="205">
        <v>0</v>
      </c>
      <c r="N12" s="169">
        <f>K12+L12+M12</f>
        <v>54562.5</v>
      </c>
      <c r="O12" s="170"/>
      <c r="P12" s="170"/>
      <c r="Q12" s="170"/>
      <c r="R12" s="170"/>
      <c r="S12" s="171"/>
      <c r="T12" s="172"/>
    </row>
    <row r="13" spans="1:20" ht="89" customHeight="1" x14ac:dyDescent="0.2">
      <c r="A13" s="161" t="s">
        <v>240</v>
      </c>
      <c r="B13" s="163" t="s">
        <v>25</v>
      </c>
      <c r="C13" s="163" t="s">
        <v>108</v>
      </c>
      <c r="D13" s="173" t="s">
        <v>260</v>
      </c>
      <c r="E13" s="164" t="s">
        <v>261</v>
      </c>
      <c r="F13" s="165" t="s">
        <v>36</v>
      </c>
      <c r="G13" s="165" t="s">
        <v>244</v>
      </c>
      <c r="H13" s="166"/>
      <c r="I13" s="166">
        <v>12000</v>
      </c>
      <c r="J13" s="168">
        <v>1</v>
      </c>
      <c r="K13" s="206">
        <f>I13*J13</f>
        <v>12000</v>
      </c>
      <c r="L13" s="206"/>
      <c r="M13" s="205">
        <v>0</v>
      </c>
      <c r="N13" s="169">
        <f>K13+L13+M13</f>
        <v>12000</v>
      </c>
      <c r="O13" s="170"/>
      <c r="P13" s="170"/>
      <c r="Q13" s="170"/>
      <c r="R13" s="170"/>
      <c r="S13" s="171"/>
      <c r="T13" s="172"/>
    </row>
    <row r="14" spans="1:20" ht="89" customHeight="1" x14ac:dyDescent="0.2">
      <c r="A14" s="161" t="s">
        <v>240</v>
      </c>
      <c r="B14" s="163" t="s">
        <v>25</v>
      </c>
      <c r="C14" s="163" t="s">
        <v>108</v>
      </c>
      <c r="D14" s="173" t="s">
        <v>262</v>
      </c>
      <c r="E14" s="164" t="s">
        <v>263</v>
      </c>
      <c r="F14" s="165" t="s">
        <v>36</v>
      </c>
      <c r="G14" s="165" t="s">
        <v>30</v>
      </c>
      <c r="H14" s="166"/>
      <c r="I14" s="167">
        <v>2000</v>
      </c>
      <c r="J14" s="168">
        <v>3</v>
      </c>
      <c r="K14" s="206">
        <f>I14*J14</f>
        <v>6000</v>
      </c>
      <c r="L14" s="206"/>
      <c r="M14" s="205">
        <v>0</v>
      </c>
      <c r="N14" s="169">
        <f>K14+L14+M14</f>
        <v>6000</v>
      </c>
      <c r="O14" s="170"/>
      <c r="P14" s="170"/>
      <c r="Q14" s="170"/>
      <c r="R14" s="170"/>
      <c r="S14" s="171"/>
      <c r="T14" s="172"/>
    </row>
    <row r="15" spans="1:20" ht="89" customHeight="1" x14ac:dyDescent="0.2">
      <c r="A15" s="161" t="s">
        <v>240</v>
      </c>
      <c r="B15" s="163" t="s">
        <v>25</v>
      </c>
      <c r="C15" s="163" t="s">
        <v>108</v>
      </c>
      <c r="D15" s="173" t="s">
        <v>264</v>
      </c>
      <c r="E15" s="164" t="s">
        <v>265</v>
      </c>
      <c r="F15" s="165" t="s">
        <v>36</v>
      </c>
      <c r="G15" s="165" t="s">
        <v>30</v>
      </c>
      <c r="H15" s="166"/>
      <c r="I15" s="166">
        <v>75000</v>
      </c>
      <c r="J15" s="168">
        <v>1</v>
      </c>
      <c r="K15" s="206">
        <f>I15*J15</f>
        <v>75000</v>
      </c>
      <c r="L15" s="206"/>
      <c r="M15" s="205">
        <v>0</v>
      </c>
      <c r="N15" s="169">
        <f>K15+L15+M15</f>
        <v>75000</v>
      </c>
      <c r="O15" s="170"/>
      <c r="P15" s="170"/>
      <c r="Q15" s="170"/>
      <c r="R15" s="170"/>
      <c r="S15" s="171"/>
      <c r="T15" s="172"/>
    </row>
    <row r="16" spans="1:20" ht="89" customHeight="1" x14ac:dyDescent="0.2">
      <c r="A16" s="161" t="s">
        <v>240</v>
      </c>
      <c r="B16" s="163" t="s">
        <v>48</v>
      </c>
      <c r="C16" s="163" t="s">
        <v>266</v>
      </c>
      <c r="D16" s="164" t="s">
        <v>267</v>
      </c>
      <c r="E16" s="164" t="s">
        <v>268</v>
      </c>
      <c r="F16" s="165" t="s">
        <v>36</v>
      </c>
      <c r="G16" s="165" t="s">
        <v>30</v>
      </c>
      <c r="H16" s="177"/>
      <c r="I16" s="177">
        <v>2300</v>
      </c>
      <c r="J16" s="168">
        <v>1</v>
      </c>
      <c r="K16" s="206">
        <f>I16*J16</f>
        <v>2300</v>
      </c>
      <c r="L16" s="206"/>
      <c r="M16" s="205">
        <v>0</v>
      </c>
      <c r="N16" s="169">
        <f>K16+L16+M16</f>
        <v>2300</v>
      </c>
      <c r="O16" s="170"/>
      <c r="P16" s="170"/>
      <c r="Q16" s="170"/>
      <c r="R16" s="170"/>
      <c r="S16" s="171"/>
      <c r="T16" s="172"/>
    </row>
    <row r="17" spans="1:20" ht="89" customHeight="1" x14ac:dyDescent="0.2">
      <c r="A17" s="161" t="s">
        <v>240</v>
      </c>
      <c r="B17" s="163" t="s">
        <v>48</v>
      </c>
      <c r="C17" s="163" t="s">
        <v>26</v>
      </c>
      <c r="D17" s="164" t="s">
        <v>269</v>
      </c>
      <c r="E17" s="164" t="s">
        <v>270</v>
      </c>
      <c r="F17" s="165" t="s">
        <v>36</v>
      </c>
      <c r="G17" s="165" t="s">
        <v>30</v>
      </c>
      <c r="H17" s="166"/>
      <c r="I17" s="167">
        <v>500</v>
      </c>
      <c r="J17" s="168">
        <v>1</v>
      </c>
      <c r="K17" s="206">
        <f>I17*J17</f>
        <v>500</v>
      </c>
      <c r="L17" s="206">
        <f>K17*0.09125</f>
        <v>45.625</v>
      </c>
      <c r="M17" s="205">
        <v>0</v>
      </c>
      <c r="N17" s="169">
        <f>K17+L17+M17</f>
        <v>545.625</v>
      </c>
      <c r="O17" s="170"/>
      <c r="P17" s="170"/>
      <c r="Q17" s="170"/>
      <c r="R17" s="170"/>
      <c r="S17" s="171"/>
      <c r="T17" s="172"/>
    </row>
    <row r="18" spans="1:20" ht="89" customHeight="1" x14ac:dyDescent="0.2">
      <c r="A18" s="161" t="s">
        <v>240</v>
      </c>
      <c r="B18" s="176" t="s">
        <v>48</v>
      </c>
      <c r="C18" s="176" t="s">
        <v>26</v>
      </c>
      <c r="D18" s="164" t="s">
        <v>271</v>
      </c>
      <c r="E18" s="164" t="s">
        <v>272</v>
      </c>
      <c r="F18" s="165" t="s">
        <v>36</v>
      </c>
      <c r="G18" s="165" t="s">
        <v>30</v>
      </c>
      <c r="H18" s="166"/>
      <c r="I18" s="161">
        <v>2500</v>
      </c>
      <c r="J18" s="174">
        <v>1</v>
      </c>
      <c r="K18" s="206">
        <f>I18*J18</f>
        <v>2500</v>
      </c>
      <c r="L18" s="206">
        <f>K18*0.09125</f>
        <v>228.125</v>
      </c>
      <c r="M18" s="205">
        <v>0</v>
      </c>
      <c r="N18" s="169">
        <f>K18+L18+M18</f>
        <v>2728.125</v>
      </c>
      <c r="O18" s="168"/>
      <c r="P18" s="168"/>
      <c r="Q18" s="168"/>
      <c r="R18" s="168"/>
      <c r="S18" s="64"/>
      <c r="T18" s="172"/>
    </row>
    <row r="19" spans="1:20" ht="89" customHeight="1" x14ac:dyDescent="0.2">
      <c r="A19" s="161" t="s">
        <v>240</v>
      </c>
      <c r="B19" s="163" t="s">
        <v>48</v>
      </c>
      <c r="C19" s="163" t="s">
        <v>108</v>
      </c>
      <c r="D19" s="173" t="s">
        <v>273</v>
      </c>
      <c r="E19" s="164" t="s">
        <v>274</v>
      </c>
      <c r="F19" s="165" t="s">
        <v>36</v>
      </c>
      <c r="G19" s="165" t="s">
        <v>30</v>
      </c>
      <c r="H19" s="166"/>
      <c r="I19" s="167">
        <v>150</v>
      </c>
      <c r="J19" s="168">
        <v>1</v>
      </c>
      <c r="K19" s="206">
        <f>I19*J19</f>
        <v>150</v>
      </c>
      <c r="L19" s="206"/>
      <c r="M19" s="205">
        <v>0</v>
      </c>
      <c r="N19" s="169">
        <f>K19+L19+M19</f>
        <v>150</v>
      </c>
      <c r="O19" s="170"/>
      <c r="P19" s="170"/>
      <c r="Q19" s="170"/>
      <c r="R19" s="170"/>
      <c r="S19" s="171"/>
      <c r="T19" s="172"/>
    </row>
    <row r="20" spans="1:20" ht="89" customHeight="1" x14ac:dyDescent="0.2">
      <c r="A20" s="161" t="s">
        <v>240</v>
      </c>
      <c r="B20" s="163" t="s">
        <v>48</v>
      </c>
      <c r="C20" s="163" t="s">
        <v>108</v>
      </c>
      <c r="D20" s="173" t="s">
        <v>275</v>
      </c>
      <c r="E20" s="164" t="s">
        <v>276</v>
      </c>
      <c r="F20" s="165" t="s">
        <v>36</v>
      </c>
      <c r="G20" s="165" t="s">
        <v>30</v>
      </c>
      <c r="H20" s="166"/>
      <c r="I20" s="167">
        <v>2000</v>
      </c>
      <c r="J20" s="168">
        <v>1</v>
      </c>
      <c r="K20" s="206">
        <f>I20*J20</f>
        <v>2000</v>
      </c>
      <c r="L20" s="206">
        <f>K20*0.09125</f>
        <v>182.5</v>
      </c>
      <c r="M20" s="205">
        <v>0</v>
      </c>
      <c r="N20" s="169">
        <f>K20+L20+M20</f>
        <v>2182.5</v>
      </c>
      <c r="O20" s="170"/>
      <c r="P20" s="170"/>
      <c r="Q20" s="170"/>
      <c r="R20" s="170"/>
      <c r="S20" s="171"/>
      <c r="T20" s="172"/>
    </row>
    <row r="21" spans="1:20" ht="32" customHeight="1" x14ac:dyDescent="0.2">
      <c r="A21" s="204" t="s">
        <v>277</v>
      </c>
      <c r="B21" s="204"/>
      <c r="C21" s="204"/>
      <c r="D21" s="204"/>
      <c r="E21" s="204"/>
      <c r="F21" s="204"/>
      <c r="G21" s="204"/>
      <c r="H21" s="204"/>
      <c r="I21" s="204"/>
      <c r="J21" s="204"/>
      <c r="K21" s="204"/>
      <c r="L21" s="204"/>
      <c r="M21" s="204"/>
      <c r="N21" s="178">
        <f>SUM(N6:N20)</f>
        <v>1816968.75</v>
      </c>
      <c r="O21" s="168"/>
      <c r="P21" s="168"/>
      <c r="Q21" s="168"/>
      <c r="R21" s="168"/>
      <c r="S21" s="64"/>
      <c r="T21" s="179"/>
    </row>
  </sheetData>
  <mergeCells count="7">
    <mergeCell ref="A21:M21"/>
    <mergeCell ref="T4:T5"/>
    <mergeCell ref="B1:N1"/>
    <mergeCell ref="B2:R2"/>
    <mergeCell ref="B3:R3"/>
    <mergeCell ref="A4:N4"/>
    <mergeCell ref="O4:S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E931-C52B-844E-BC1F-96E7BEB359AA}">
  <dimension ref="A1:T31"/>
  <sheetViews>
    <sheetView zoomScaleNormal="100" workbookViewId="0">
      <selection activeCell="D11" sqref="D11"/>
    </sheetView>
  </sheetViews>
  <sheetFormatPr baseColWidth="10" defaultColWidth="8.83203125" defaultRowHeight="16" x14ac:dyDescent="0.2"/>
  <cols>
    <col min="1" max="3" width="8.83203125" style="5"/>
    <col min="4" max="5" width="29.1640625" style="5" customWidth="1"/>
    <col min="6" max="8" width="8.83203125" style="209"/>
    <col min="9" max="9" width="10.1640625" style="5" customWidth="1"/>
    <col min="10" max="11" width="8.83203125" style="5"/>
    <col min="12" max="12" width="10.6640625" style="5" customWidth="1"/>
    <col min="13" max="13" width="8.83203125" style="5"/>
    <col min="14" max="14" width="14.6640625" style="5" customWidth="1"/>
    <col min="15" max="19" width="8.83203125" style="5"/>
    <col min="20" max="20" width="31.33203125" style="208" customWidth="1"/>
    <col min="21" max="16384" width="8.83203125" style="5"/>
  </cols>
  <sheetData>
    <row r="1" spans="1:20" x14ac:dyDescent="0.2">
      <c r="A1" s="1"/>
      <c r="B1" s="181" t="s">
        <v>0</v>
      </c>
      <c r="C1" s="181"/>
      <c r="D1" s="181"/>
      <c r="E1" s="181"/>
      <c r="F1" s="181"/>
      <c r="G1" s="181"/>
      <c r="H1" s="181"/>
      <c r="I1" s="181"/>
      <c r="J1" s="181"/>
      <c r="K1" s="181"/>
      <c r="L1" s="181"/>
      <c r="M1" s="181"/>
      <c r="N1" s="181"/>
      <c r="O1" s="147"/>
      <c r="P1" s="147"/>
      <c r="Q1" s="147"/>
      <c r="R1" s="147"/>
      <c r="S1" s="1"/>
      <c r="T1" s="4"/>
    </row>
    <row r="2" spans="1:20" x14ac:dyDescent="0.2">
      <c r="A2" s="1"/>
      <c r="B2" s="182" t="s">
        <v>290</v>
      </c>
      <c r="C2" s="186"/>
      <c r="D2" s="187"/>
      <c r="E2" s="187"/>
      <c r="F2" s="187"/>
      <c r="G2" s="187"/>
      <c r="H2" s="187"/>
      <c r="I2" s="187"/>
      <c r="J2" s="187"/>
      <c r="K2" s="187"/>
      <c r="L2" s="187"/>
      <c r="M2" s="187"/>
      <c r="N2" s="187"/>
      <c r="O2" s="187"/>
      <c r="P2" s="187"/>
      <c r="Q2" s="187"/>
      <c r="R2" s="188"/>
      <c r="S2" s="1"/>
      <c r="T2" s="4"/>
    </row>
    <row r="3" spans="1:20" ht="94.5" customHeight="1" x14ac:dyDescent="0.2">
      <c r="A3" s="1"/>
      <c r="B3" s="183" t="s">
        <v>2</v>
      </c>
      <c r="C3" s="189"/>
      <c r="D3" s="190"/>
      <c r="E3" s="190"/>
      <c r="F3" s="190"/>
      <c r="G3" s="190"/>
      <c r="H3" s="190"/>
      <c r="I3" s="190"/>
      <c r="J3" s="190"/>
      <c r="K3" s="190"/>
      <c r="L3" s="190"/>
      <c r="M3" s="190"/>
      <c r="N3" s="190"/>
      <c r="O3" s="190"/>
      <c r="P3" s="190"/>
      <c r="Q3" s="190"/>
      <c r="R3" s="190"/>
      <c r="S3" s="1"/>
      <c r="T3" s="4"/>
    </row>
    <row r="4" spans="1:20" ht="23" x14ac:dyDescent="0.2">
      <c r="A4" s="184"/>
      <c r="B4" s="184"/>
      <c r="C4" s="184"/>
      <c r="D4" s="184"/>
      <c r="E4" s="184"/>
      <c r="F4" s="184"/>
      <c r="G4" s="184"/>
      <c r="H4" s="184"/>
      <c r="I4" s="184"/>
      <c r="J4" s="184"/>
      <c r="K4" s="184"/>
      <c r="L4" s="184"/>
      <c r="M4" s="184"/>
      <c r="N4" s="184"/>
      <c r="O4" s="185" t="s">
        <v>3</v>
      </c>
      <c r="P4" s="185"/>
      <c r="Q4" s="185"/>
      <c r="R4" s="185"/>
      <c r="S4" s="191"/>
      <c r="T4" s="180" t="s">
        <v>4</v>
      </c>
    </row>
    <row r="5" spans="1:20" ht="143" x14ac:dyDescent="0.2">
      <c r="A5" s="7" t="s">
        <v>5</v>
      </c>
      <c r="B5" s="8" t="s">
        <v>6</v>
      </c>
      <c r="C5" s="8" t="s">
        <v>7</v>
      </c>
      <c r="D5" s="9" t="s">
        <v>8</v>
      </c>
      <c r="E5" s="9" t="s">
        <v>9</v>
      </c>
      <c r="F5" s="7" t="s">
        <v>10</v>
      </c>
      <c r="G5" s="7" t="s">
        <v>11</v>
      </c>
      <c r="H5" s="7" t="s">
        <v>12</v>
      </c>
      <c r="I5" s="7" t="s">
        <v>13</v>
      </c>
      <c r="J5" s="7" t="s">
        <v>14</v>
      </c>
      <c r="K5" s="10" t="s">
        <v>15</v>
      </c>
      <c r="L5" s="7" t="s">
        <v>16</v>
      </c>
      <c r="M5" s="7" t="s">
        <v>17</v>
      </c>
      <c r="N5" s="7" t="s">
        <v>18</v>
      </c>
      <c r="O5" s="11" t="s">
        <v>19</v>
      </c>
      <c r="P5" s="11" t="s">
        <v>20</v>
      </c>
      <c r="Q5" s="11" t="s">
        <v>21</v>
      </c>
      <c r="R5" s="11" t="s">
        <v>22</v>
      </c>
      <c r="S5" s="148" t="s">
        <v>66</v>
      </c>
      <c r="T5" s="192"/>
    </row>
    <row r="6" spans="1:20" ht="39" customHeight="1" x14ac:dyDescent="0.2">
      <c r="A6" s="20" t="s">
        <v>282</v>
      </c>
      <c r="B6" s="51" t="s">
        <v>48</v>
      </c>
      <c r="C6" s="51" t="s">
        <v>26</v>
      </c>
      <c r="D6" s="24" t="s">
        <v>289</v>
      </c>
      <c r="E6" s="24" t="s">
        <v>286</v>
      </c>
      <c r="F6" s="26" t="s">
        <v>36</v>
      </c>
      <c r="G6" s="26" t="s">
        <v>162</v>
      </c>
      <c r="H6" s="26">
        <v>5</v>
      </c>
      <c r="I6" s="28">
        <v>500</v>
      </c>
      <c r="J6" s="20">
        <v>4</v>
      </c>
      <c r="K6" s="28">
        <v>2000</v>
      </c>
      <c r="L6" s="28">
        <v>180</v>
      </c>
      <c r="M6" s="28"/>
      <c r="N6" s="30">
        <v>2180</v>
      </c>
      <c r="O6" s="36"/>
      <c r="P6" s="36"/>
      <c r="Q6" s="36" t="s">
        <v>31</v>
      </c>
      <c r="R6" s="36"/>
      <c r="S6" s="151"/>
      <c r="T6" s="13"/>
    </row>
    <row r="7" spans="1:20" ht="37" customHeight="1" x14ac:dyDescent="0.2">
      <c r="A7" s="20" t="s">
        <v>282</v>
      </c>
      <c r="B7" s="51" t="s">
        <v>48</v>
      </c>
      <c r="C7" s="51" t="s">
        <v>26</v>
      </c>
      <c r="D7" s="24" t="s">
        <v>288</v>
      </c>
      <c r="E7" s="24" t="s">
        <v>286</v>
      </c>
      <c r="F7" s="26" t="s">
        <v>36</v>
      </c>
      <c r="G7" s="26" t="s">
        <v>162</v>
      </c>
      <c r="H7" s="26">
        <v>5</v>
      </c>
      <c r="I7" s="28">
        <v>150</v>
      </c>
      <c r="J7" s="20">
        <v>4</v>
      </c>
      <c r="K7" s="28">
        <v>600</v>
      </c>
      <c r="L7" s="28">
        <v>54</v>
      </c>
      <c r="M7" s="28"/>
      <c r="N7" s="30">
        <v>654</v>
      </c>
      <c r="O7" s="36"/>
      <c r="P7" s="36"/>
      <c r="Q7" s="36" t="s">
        <v>31</v>
      </c>
      <c r="R7" s="36"/>
      <c r="S7" s="151"/>
      <c r="T7" s="13"/>
    </row>
    <row r="8" spans="1:20" ht="39" customHeight="1" x14ac:dyDescent="0.2">
      <c r="A8" s="20" t="s">
        <v>282</v>
      </c>
      <c r="B8" s="51" t="s">
        <v>48</v>
      </c>
      <c r="C8" s="51" t="s">
        <v>26</v>
      </c>
      <c r="D8" s="13" t="s">
        <v>287</v>
      </c>
      <c r="E8" s="24" t="s">
        <v>286</v>
      </c>
      <c r="F8" s="26" t="s">
        <v>36</v>
      </c>
      <c r="G8" s="26" t="s">
        <v>162</v>
      </c>
      <c r="H8" s="26">
        <v>5</v>
      </c>
      <c r="I8" s="28">
        <v>400</v>
      </c>
      <c r="J8" s="26" t="s">
        <v>285</v>
      </c>
      <c r="K8" s="28">
        <v>200</v>
      </c>
      <c r="L8" s="28">
        <v>36</v>
      </c>
      <c r="M8" s="28"/>
      <c r="N8" s="30">
        <v>436</v>
      </c>
      <c r="O8" s="16"/>
      <c r="P8" s="16"/>
      <c r="Q8" s="16" t="s">
        <v>31</v>
      </c>
      <c r="R8" s="16"/>
      <c r="S8" s="153"/>
      <c r="T8" s="13"/>
    </row>
    <row r="9" spans="1:20" ht="31.75" customHeight="1" x14ac:dyDescent="0.2">
      <c r="A9" s="20" t="s">
        <v>282</v>
      </c>
      <c r="B9" s="51" t="s">
        <v>25</v>
      </c>
      <c r="C9" s="51" t="s">
        <v>108</v>
      </c>
      <c r="D9" s="24" t="s">
        <v>284</v>
      </c>
      <c r="E9" s="24" t="s">
        <v>283</v>
      </c>
      <c r="F9" s="26" t="s">
        <v>36</v>
      </c>
      <c r="G9" s="26"/>
      <c r="H9" s="26"/>
      <c r="I9" s="28"/>
      <c r="J9" s="20"/>
      <c r="K9" s="28"/>
      <c r="L9" s="28"/>
      <c r="M9" s="28"/>
      <c r="N9" s="30">
        <v>3500</v>
      </c>
      <c r="O9" s="36"/>
      <c r="P9" s="36"/>
      <c r="Q9" s="36" t="s">
        <v>31</v>
      </c>
      <c r="R9" s="36"/>
      <c r="S9" s="151"/>
      <c r="T9" s="13"/>
    </row>
    <row r="10" spans="1:20" ht="72" customHeight="1" x14ac:dyDescent="0.2">
      <c r="A10" s="20" t="s">
        <v>282</v>
      </c>
      <c r="B10" s="51" t="s">
        <v>25</v>
      </c>
      <c r="C10" s="51" t="s">
        <v>108</v>
      </c>
      <c r="D10" s="24" t="s">
        <v>281</v>
      </c>
      <c r="E10" s="24" t="s">
        <v>280</v>
      </c>
      <c r="F10" s="26" t="s">
        <v>36</v>
      </c>
      <c r="G10" s="26"/>
      <c r="H10" s="26"/>
      <c r="I10" s="28"/>
      <c r="J10" s="20"/>
      <c r="K10" s="28"/>
      <c r="L10" s="28"/>
      <c r="M10" s="28"/>
      <c r="N10" s="30">
        <v>10500</v>
      </c>
      <c r="O10" s="36"/>
      <c r="P10" s="36"/>
      <c r="Q10" s="36" t="s">
        <v>31</v>
      </c>
      <c r="R10" s="36"/>
      <c r="S10" s="151"/>
      <c r="T10" s="13"/>
    </row>
    <row r="11" spans="1:20" ht="31.75" customHeight="1" x14ac:dyDescent="0.2">
      <c r="A11" s="20"/>
      <c r="B11" s="51"/>
      <c r="C11" s="51"/>
      <c r="D11" s="13"/>
      <c r="E11" s="24"/>
      <c r="F11" s="26"/>
      <c r="G11" s="26"/>
      <c r="H11" s="20"/>
      <c r="I11" s="28"/>
      <c r="J11" s="26"/>
      <c r="K11" s="28"/>
      <c r="L11" s="28"/>
      <c r="M11" s="28"/>
      <c r="N11" s="30"/>
      <c r="O11" s="16"/>
      <c r="P11" s="16"/>
      <c r="Q11" s="16"/>
      <c r="R11" s="16"/>
      <c r="S11" s="153"/>
      <c r="T11" s="13"/>
    </row>
    <row r="12" spans="1:20" ht="31.75" customHeight="1" x14ac:dyDescent="0.2">
      <c r="A12" s="20"/>
      <c r="B12" s="51"/>
      <c r="C12" s="51"/>
      <c r="D12" s="13"/>
      <c r="E12" s="24"/>
      <c r="F12" s="26"/>
      <c r="G12" s="26"/>
      <c r="H12" s="20"/>
      <c r="I12" s="28"/>
      <c r="J12" s="26"/>
      <c r="K12" s="28"/>
      <c r="L12" s="28"/>
      <c r="M12" s="28"/>
      <c r="N12" s="30"/>
      <c r="O12" s="16"/>
      <c r="P12" s="16"/>
      <c r="Q12" s="16"/>
      <c r="R12" s="16"/>
      <c r="S12" s="153"/>
      <c r="T12" s="13"/>
    </row>
    <row r="13" spans="1:20" ht="31.75" customHeight="1" x14ac:dyDescent="0.2">
      <c r="A13" s="20"/>
      <c r="B13" s="51"/>
      <c r="C13" s="51"/>
      <c r="D13" s="13"/>
      <c r="E13" s="24"/>
      <c r="F13" s="26"/>
      <c r="G13" s="26"/>
      <c r="H13" s="20"/>
      <c r="I13" s="28"/>
      <c r="J13" s="26"/>
      <c r="K13" s="28"/>
      <c r="L13" s="28"/>
      <c r="M13" s="28"/>
      <c r="N13" s="30"/>
      <c r="O13" s="16"/>
      <c r="P13" s="16"/>
      <c r="Q13" s="16"/>
      <c r="R13" s="16"/>
      <c r="S13" s="153"/>
      <c r="T13" s="13"/>
    </row>
    <row r="14" spans="1:20" ht="31.75" customHeight="1" x14ac:dyDescent="0.2">
      <c r="A14" s="20"/>
      <c r="B14" s="51"/>
      <c r="C14" s="51"/>
      <c r="D14" s="13"/>
      <c r="E14" s="24"/>
      <c r="F14" s="26"/>
      <c r="G14" s="26"/>
      <c r="H14" s="20"/>
      <c r="I14" s="28"/>
      <c r="J14" s="26"/>
      <c r="K14" s="28"/>
      <c r="L14" s="28"/>
      <c r="M14" s="28"/>
      <c r="N14" s="30"/>
      <c r="O14" s="16"/>
      <c r="P14" s="16"/>
      <c r="Q14" s="16"/>
      <c r="R14" s="16"/>
      <c r="S14" s="151"/>
      <c r="T14" s="13"/>
    </row>
    <row r="15" spans="1:20" ht="31.75" customHeight="1" x14ac:dyDescent="0.2">
      <c r="A15" s="20"/>
      <c r="B15" s="51"/>
      <c r="C15" s="51"/>
      <c r="D15" s="13"/>
      <c r="E15" s="24"/>
      <c r="F15" s="26"/>
      <c r="G15" s="26"/>
      <c r="H15" s="20"/>
      <c r="I15" s="28"/>
      <c r="J15" s="26"/>
      <c r="K15" s="28"/>
      <c r="L15" s="28"/>
      <c r="M15" s="28"/>
      <c r="N15" s="30"/>
      <c r="O15" s="16"/>
      <c r="P15" s="16"/>
      <c r="Q15" s="16"/>
      <c r="R15" s="16"/>
      <c r="S15" s="151"/>
      <c r="T15" s="13"/>
    </row>
    <row r="16" spans="1:20" ht="31.75" customHeight="1" x14ac:dyDescent="0.2">
      <c r="A16" s="20"/>
      <c r="B16" s="51"/>
      <c r="C16" s="51"/>
      <c r="D16" s="13"/>
      <c r="E16" s="24"/>
      <c r="F16" s="26"/>
      <c r="G16" s="26"/>
      <c r="H16" s="20"/>
      <c r="I16" s="28"/>
      <c r="J16" s="26"/>
      <c r="K16" s="28"/>
      <c r="L16" s="28"/>
      <c r="M16" s="28"/>
      <c r="N16" s="30"/>
      <c r="O16" s="16"/>
      <c r="P16" s="16"/>
      <c r="Q16" s="16"/>
      <c r="R16" s="16"/>
      <c r="S16" s="151"/>
      <c r="T16" s="13"/>
    </row>
    <row r="17" spans="1:20" ht="31.75" customHeight="1" x14ac:dyDescent="0.2">
      <c r="A17" s="20"/>
      <c r="B17" s="51"/>
      <c r="C17" s="51"/>
      <c r="D17" s="13"/>
      <c r="E17" s="24"/>
      <c r="F17" s="26"/>
      <c r="G17" s="26"/>
      <c r="H17" s="20"/>
      <c r="I17" s="28"/>
      <c r="J17" s="26"/>
      <c r="K17" s="28"/>
      <c r="L17" s="28"/>
      <c r="M17" s="28"/>
      <c r="N17" s="30"/>
      <c r="O17" s="16"/>
      <c r="P17" s="16"/>
      <c r="Q17" s="16"/>
      <c r="R17" s="16"/>
      <c r="S17" s="151"/>
      <c r="T17" s="13"/>
    </row>
    <row r="18" spans="1:20" ht="31.75" customHeight="1" x14ac:dyDescent="0.2">
      <c r="A18" s="20"/>
      <c r="B18" s="51"/>
      <c r="C18" s="51"/>
      <c r="D18" s="13"/>
      <c r="E18" s="24"/>
      <c r="F18" s="26"/>
      <c r="G18" s="26"/>
      <c r="H18" s="20"/>
      <c r="I18" s="28"/>
      <c r="J18" s="26"/>
      <c r="K18" s="28"/>
      <c r="L18" s="28"/>
      <c r="M18" s="28"/>
      <c r="N18" s="30"/>
      <c r="O18" s="16"/>
      <c r="P18" s="16"/>
      <c r="Q18" s="16"/>
      <c r="R18" s="16"/>
      <c r="S18" s="151"/>
      <c r="T18" s="13"/>
    </row>
    <row r="19" spans="1:20" ht="31.75" customHeight="1" x14ac:dyDescent="0.2">
      <c r="A19" s="20"/>
      <c r="B19" s="51"/>
      <c r="C19" s="51"/>
      <c r="D19" s="13"/>
      <c r="E19" s="24"/>
      <c r="F19" s="26"/>
      <c r="G19" s="26"/>
      <c r="H19" s="20"/>
      <c r="I19" s="28"/>
      <c r="J19" s="26"/>
      <c r="K19" s="28"/>
      <c r="L19" s="28"/>
      <c r="M19" s="28"/>
      <c r="N19" s="30"/>
      <c r="O19" s="16"/>
      <c r="P19" s="16"/>
      <c r="Q19" s="16"/>
      <c r="R19" s="16"/>
      <c r="S19" s="151"/>
      <c r="T19" s="13"/>
    </row>
    <row r="20" spans="1:20" ht="31.75" customHeight="1" x14ac:dyDescent="0.2">
      <c r="A20" s="20"/>
      <c r="B20" s="51"/>
      <c r="C20" s="51"/>
      <c r="D20" s="13"/>
      <c r="E20" s="24"/>
      <c r="F20" s="26"/>
      <c r="G20" s="26"/>
      <c r="H20" s="20"/>
      <c r="I20" s="28"/>
      <c r="J20" s="26"/>
      <c r="K20" s="28"/>
      <c r="L20" s="28"/>
      <c r="M20" s="28"/>
      <c r="N20" s="30"/>
      <c r="O20" s="16"/>
      <c r="P20" s="16"/>
      <c r="Q20" s="16"/>
      <c r="R20" s="16"/>
      <c r="S20" s="151"/>
      <c r="T20" s="13"/>
    </row>
    <row r="21" spans="1:20" ht="31.75" customHeight="1" x14ac:dyDescent="0.2">
      <c r="A21" s="20"/>
      <c r="B21" s="51"/>
      <c r="C21" s="51"/>
      <c r="D21" s="13"/>
      <c r="E21" s="24"/>
      <c r="F21" s="26"/>
      <c r="G21" s="26"/>
      <c r="H21" s="20"/>
      <c r="I21" s="28"/>
      <c r="J21" s="26"/>
      <c r="K21" s="28"/>
      <c r="L21" s="28"/>
      <c r="M21" s="28"/>
      <c r="N21" s="30"/>
      <c r="O21" s="16"/>
      <c r="P21" s="16"/>
      <c r="Q21" s="16"/>
      <c r="R21" s="16"/>
      <c r="S21" s="151"/>
      <c r="T21" s="13"/>
    </row>
    <row r="22" spans="1:20" ht="31.75" customHeight="1" x14ac:dyDescent="0.2">
      <c r="A22" s="20"/>
      <c r="B22" s="51"/>
      <c r="C22" s="51"/>
      <c r="D22" s="13"/>
      <c r="E22" s="24"/>
      <c r="F22" s="26"/>
      <c r="G22" s="26"/>
      <c r="H22" s="20"/>
      <c r="I22" s="28"/>
      <c r="J22" s="26"/>
      <c r="K22" s="28"/>
      <c r="L22" s="28"/>
      <c r="M22" s="28"/>
      <c r="N22" s="30"/>
      <c r="O22" s="16"/>
      <c r="P22" s="16"/>
      <c r="Q22" s="16"/>
      <c r="R22" s="16"/>
      <c r="S22" s="151"/>
      <c r="T22" s="13"/>
    </row>
    <row r="23" spans="1:20" ht="31.75" customHeight="1" x14ac:dyDescent="0.2">
      <c r="A23" s="20"/>
      <c r="B23" s="51"/>
      <c r="C23" s="51"/>
      <c r="D23" s="13"/>
      <c r="E23" s="24"/>
      <c r="F23" s="26"/>
      <c r="G23" s="26"/>
      <c r="H23" s="20"/>
      <c r="I23" s="28"/>
      <c r="J23" s="26"/>
      <c r="K23" s="28"/>
      <c r="L23" s="28"/>
      <c r="M23" s="28"/>
      <c r="N23" s="30"/>
      <c r="O23" s="16"/>
      <c r="P23" s="16"/>
      <c r="Q23" s="16"/>
      <c r="R23" s="16"/>
      <c r="S23" s="153"/>
      <c r="T23" s="13"/>
    </row>
    <row r="24" spans="1:20" ht="31.75" customHeight="1" x14ac:dyDescent="0.2">
      <c r="A24" s="20"/>
      <c r="B24" s="51"/>
      <c r="C24" s="51"/>
      <c r="D24" s="13"/>
      <c r="E24" s="24"/>
      <c r="F24" s="26"/>
      <c r="G24" s="26"/>
      <c r="H24" s="20"/>
      <c r="I24" s="28"/>
      <c r="J24" s="26"/>
      <c r="K24" s="28"/>
      <c r="L24" s="28"/>
      <c r="M24" s="28"/>
      <c r="N24" s="30"/>
      <c r="O24" s="16"/>
      <c r="P24" s="16"/>
      <c r="Q24" s="16"/>
      <c r="R24" s="16"/>
      <c r="S24" s="153"/>
      <c r="T24" s="13"/>
    </row>
    <row r="25" spans="1:20" ht="31.75" customHeight="1" x14ac:dyDescent="0.2">
      <c r="A25" s="20"/>
      <c r="B25" s="51"/>
      <c r="C25" s="51"/>
      <c r="D25" s="13"/>
      <c r="E25" s="24"/>
      <c r="F25" s="26"/>
      <c r="G25" s="26"/>
      <c r="H25" s="20"/>
      <c r="I25" s="28"/>
      <c r="J25" s="26"/>
      <c r="K25" s="28"/>
      <c r="L25" s="28"/>
      <c r="M25" s="28"/>
      <c r="N25" s="30"/>
      <c r="O25" s="16"/>
      <c r="P25" s="16"/>
      <c r="Q25" s="16"/>
      <c r="R25" s="16"/>
      <c r="S25" s="153"/>
      <c r="T25" s="13"/>
    </row>
    <row r="26" spans="1:20" ht="31.75" customHeight="1" x14ac:dyDescent="0.2">
      <c r="A26" s="20"/>
      <c r="B26" s="51"/>
      <c r="C26" s="51"/>
      <c r="D26" s="13"/>
      <c r="E26" s="24"/>
      <c r="F26" s="26"/>
      <c r="G26" s="26"/>
      <c r="H26" s="20"/>
      <c r="I26" s="28"/>
      <c r="J26" s="26"/>
      <c r="K26" s="28"/>
      <c r="L26" s="28"/>
      <c r="M26" s="28"/>
      <c r="N26" s="30"/>
      <c r="O26" s="16"/>
      <c r="P26" s="16"/>
      <c r="Q26" s="16"/>
      <c r="R26" s="16"/>
      <c r="S26" s="153"/>
      <c r="T26" s="13"/>
    </row>
    <row r="27" spans="1:20" ht="31.75" customHeight="1" x14ac:dyDescent="0.2">
      <c r="A27" s="20"/>
      <c r="B27" s="51"/>
      <c r="C27" s="51"/>
      <c r="D27" s="13"/>
      <c r="E27" s="24"/>
      <c r="F27" s="26"/>
      <c r="G27" s="26"/>
      <c r="H27" s="20"/>
      <c r="I27" s="28"/>
      <c r="J27" s="26"/>
      <c r="K27" s="28"/>
      <c r="L27" s="28"/>
      <c r="M27" s="28"/>
      <c r="N27" s="30"/>
      <c r="O27" s="16"/>
      <c r="P27" s="16"/>
      <c r="Q27" s="16"/>
      <c r="R27" s="16"/>
      <c r="S27" s="153"/>
      <c r="T27" s="13"/>
    </row>
    <row r="28" spans="1:20" ht="31.75" customHeight="1" x14ac:dyDescent="0.2">
      <c r="A28" s="20"/>
      <c r="B28" s="51"/>
      <c r="C28" s="51"/>
      <c r="D28" s="13"/>
      <c r="E28" s="24"/>
      <c r="F28" s="26"/>
      <c r="G28" s="26"/>
      <c r="H28" s="20"/>
      <c r="I28" s="28"/>
      <c r="J28" s="26"/>
      <c r="K28" s="28"/>
      <c r="L28" s="28"/>
      <c r="M28" s="28"/>
      <c r="N28" s="30"/>
      <c r="O28" s="16"/>
      <c r="P28" s="16"/>
      <c r="Q28" s="16"/>
      <c r="R28" s="16"/>
      <c r="S28" s="153"/>
      <c r="T28" s="13"/>
    </row>
    <row r="29" spans="1:20" ht="31.75" customHeight="1" thickBot="1" x14ac:dyDescent="0.25">
      <c r="A29" s="20"/>
      <c r="B29" s="51"/>
      <c r="C29" s="51"/>
      <c r="D29" s="13"/>
      <c r="E29" s="24"/>
      <c r="F29" s="26"/>
      <c r="G29" s="26"/>
      <c r="H29" s="20"/>
      <c r="I29" s="28"/>
      <c r="J29" s="26"/>
      <c r="K29" s="28"/>
      <c r="L29" s="28"/>
      <c r="M29" s="28"/>
      <c r="N29" s="30"/>
      <c r="O29" s="16"/>
      <c r="P29" s="16"/>
      <c r="Q29" s="16"/>
      <c r="R29" s="16"/>
      <c r="S29" s="153"/>
      <c r="T29" s="13"/>
    </row>
    <row r="30" spans="1:20" ht="31.75" customHeight="1" thickBot="1" x14ac:dyDescent="0.25">
      <c r="A30" s="219" t="s">
        <v>279</v>
      </c>
      <c r="B30" s="218"/>
      <c r="C30" s="218"/>
      <c r="D30" s="218"/>
      <c r="E30" s="218"/>
      <c r="F30" s="218"/>
      <c r="G30" s="218"/>
      <c r="H30" s="218"/>
      <c r="I30" s="218"/>
      <c r="J30" s="218"/>
      <c r="K30" s="218"/>
      <c r="L30" s="218"/>
      <c r="M30" s="217"/>
      <c r="N30" s="216">
        <f>SUM(N6:N29)</f>
        <v>17270</v>
      </c>
      <c r="O30" s="215"/>
      <c r="P30" s="214"/>
      <c r="Q30" s="214"/>
      <c r="R30" s="214"/>
      <c r="S30" s="213"/>
      <c r="T30" s="212"/>
    </row>
    <row r="31" spans="1:20" ht="31.75" customHeight="1" x14ac:dyDescent="0.2">
      <c r="A31" s="1"/>
      <c r="B31" s="1"/>
      <c r="C31" s="1"/>
      <c r="D31" s="1"/>
      <c r="E31" s="1"/>
      <c r="F31" s="147"/>
      <c r="G31" s="147"/>
      <c r="H31" s="147"/>
      <c r="I31" s="1"/>
      <c r="J31" s="1"/>
      <c r="K31" s="1"/>
      <c r="L31" s="1"/>
      <c r="M31" s="1"/>
      <c r="N31" s="211" t="s">
        <v>278</v>
      </c>
      <c r="O31" s="211" t="s">
        <v>278</v>
      </c>
      <c r="P31" s="147"/>
      <c r="Q31" s="147"/>
      <c r="R31" s="147"/>
      <c r="S31" s="1"/>
      <c r="T31" s="210"/>
    </row>
  </sheetData>
  <mergeCells count="7">
    <mergeCell ref="A30:M30"/>
    <mergeCell ref="T4:T5"/>
    <mergeCell ref="B1:N1"/>
    <mergeCell ref="B2:R2"/>
    <mergeCell ref="B3:R3"/>
    <mergeCell ref="A4:N4"/>
    <mergeCell ref="O4:S4"/>
  </mergeCells>
  <dataValidations count="1">
    <dataValidation allowBlank="1" showInputMessage="1" showErrorMessage="1" promptTitle="Enter Justification"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90CF788-4E28-9546-B8EA-5DB8798CA572}"/>
  </dataValidation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3444-E585-FA47-9A6E-76BCDF01C8FB}">
  <dimension ref="A1:T29"/>
  <sheetViews>
    <sheetView topLeftCell="A9" zoomScale="130" zoomScaleNormal="130" workbookViewId="0">
      <selection activeCell="E14" sqref="E14"/>
    </sheetView>
  </sheetViews>
  <sheetFormatPr baseColWidth="10" defaultColWidth="8.83203125" defaultRowHeight="16" x14ac:dyDescent="0.2"/>
  <cols>
    <col min="1" max="3" width="8.83203125" style="5"/>
    <col min="4" max="4" width="29.1640625" style="5" customWidth="1"/>
    <col min="5" max="5" width="27.1640625" style="5" customWidth="1"/>
    <col min="6" max="8" width="8.83203125" style="209"/>
    <col min="9" max="9" width="10.1640625" style="5" customWidth="1"/>
    <col min="10" max="10" width="9.1640625" style="268" bestFit="1" customWidth="1"/>
    <col min="11" max="11" width="10.33203125" style="5" bestFit="1" customWidth="1"/>
    <col min="12" max="12" width="10.6640625" style="5" customWidth="1"/>
    <col min="13" max="13" width="8.83203125" style="5"/>
    <col min="14" max="14" width="14.6640625" style="5" customWidth="1"/>
    <col min="15" max="19" width="8.83203125" style="5"/>
    <col min="20" max="20" width="31.33203125" style="208" customWidth="1"/>
    <col min="21" max="16384" width="8.83203125" style="5"/>
  </cols>
  <sheetData>
    <row r="1" spans="1:20" x14ac:dyDescent="0.2">
      <c r="A1" s="1"/>
      <c r="B1" s="181" t="s">
        <v>0</v>
      </c>
      <c r="C1" s="181"/>
      <c r="D1" s="181"/>
      <c r="E1" s="181"/>
      <c r="F1" s="181"/>
      <c r="G1" s="181"/>
      <c r="H1" s="181"/>
      <c r="I1" s="181"/>
      <c r="J1" s="181"/>
      <c r="K1" s="181"/>
      <c r="L1" s="181"/>
      <c r="M1" s="181"/>
      <c r="N1" s="181"/>
      <c r="O1" s="147"/>
      <c r="P1" s="147"/>
      <c r="Q1" s="147"/>
      <c r="R1" s="147"/>
      <c r="S1" s="1"/>
      <c r="T1" s="4"/>
    </row>
    <row r="2" spans="1:20" x14ac:dyDescent="0.2">
      <c r="A2" s="1"/>
      <c r="B2" s="182" t="s">
        <v>199</v>
      </c>
      <c r="C2" s="186"/>
      <c r="D2" s="187"/>
      <c r="E2" s="187"/>
      <c r="F2" s="187"/>
      <c r="G2" s="187"/>
      <c r="H2" s="187"/>
      <c r="I2" s="187"/>
      <c r="J2" s="187"/>
      <c r="K2" s="187"/>
      <c r="L2" s="187"/>
      <c r="M2" s="187"/>
      <c r="N2" s="187"/>
      <c r="O2" s="187"/>
      <c r="P2" s="187"/>
      <c r="Q2" s="187"/>
      <c r="R2" s="188"/>
      <c r="S2" s="1"/>
      <c r="T2" s="4"/>
    </row>
    <row r="3" spans="1:20" ht="94.5" customHeight="1" x14ac:dyDescent="0.2">
      <c r="A3" s="1"/>
      <c r="B3" s="183" t="s">
        <v>2</v>
      </c>
      <c r="C3" s="189"/>
      <c r="D3" s="190"/>
      <c r="E3" s="190"/>
      <c r="F3" s="190"/>
      <c r="G3" s="190"/>
      <c r="H3" s="190"/>
      <c r="I3" s="190"/>
      <c r="J3" s="190"/>
      <c r="K3" s="190"/>
      <c r="L3" s="190"/>
      <c r="M3" s="190"/>
      <c r="N3" s="190"/>
      <c r="O3" s="190"/>
      <c r="P3" s="190"/>
      <c r="Q3" s="190"/>
      <c r="R3" s="190"/>
      <c r="S3" s="1"/>
      <c r="T3" s="4"/>
    </row>
    <row r="4" spans="1:20" ht="23" x14ac:dyDescent="0.2">
      <c r="A4" s="184"/>
      <c r="B4" s="184"/>
      <c r="C4" s="184"/>
      <c r="D4" s="184"/>
      <c r="E4" s="184"/>
      <c r="F4" s="184"/>
      <c r="G4" s="184"/>
      <c r="H4" s="184"/>
      <c r="I4" s="184"/>
      <c r="J4" s="184"/>
      <c r="K4" s="184"/>
      <c r="L4" s="184"/>
      <c r="M4" s="184"/>
      <c r="N4" s="184"/>
      <c r="O4" s="185" t="s">
        <v>3</v>
      </c>
      <c r="P4" s="185"/>
      <c r="Q4" s="185"/>
      <c r="R4" s="185"/>
      <c r="S4" s="191"/>
      <c r="T4" s="180" t="s">
        <v>4</v>
      </c>
    </row>
    <row r="5" spans="1:20" ht="156" x14ac:dyDescent="0.2">
      <c r="A5" s="7" t="s">
        <v>5</v>
      </c>
      <c r="B5" s="8" t="s">
        <v>6</v>
      </c>
      <c r="C5" s="8" t="s">
        <v>7</v>
      </c>
      <c r="D5" s="9" t="s">
        <v>8</v>
      </c>
      <c r="E5" s="9" t="s">
        <v>9</v>
      </c>
      <c r="F5" s="7" t="s">
        <v>10</v>
      </c>
      <c r="G5" s="7" t="s">
        <v>11</v>
      </c>
      <c r="H5" s="7" t="s">
        <v>12</v>
      </c>
      <c r="I5" s="7" t="s">
        <v>13</v>
      </c>
      <c r="J5" s="281" t="s">
        <v>14</v>
      </c>
      <c r="K5" s="10" t="s">
        <v>15</v>
      </c>
      <c r="L5" s="7" t="s">
        <v>16</v>
      </c>
      <c r="M5" s="7" t="s">
        <v>17</v>
      </c>
      <c r="N5" s="7" t="s">
        <v>18</v>
      </c>
      <c r="O5" s="11" t="s">
        <v>19</v>
      </c>
      <c r="P5" s="11" t="s">
        <v>20</v>
      </c>
      <c r="Q5" s="11" t="s">
        <v>21</v>
      </c>
      <c r="R5" s="11" t="s">
        <v>22</v>
      </c>
      <c r="S5" s="148" t="s">
        <v>66</v>
      </c>
      <c r="T5" s="192"/>
    </row>
    <row r="6" spans="1:20" ht="87" customHeight="1" x14ac:dyDescent="0.2">
      <c r="A6" s="20" t="s">
        <v>200</v>
      </c>
      <c r="B6" s="51" t="s">
        <v>25</v>
      </c>
      <c r="C6" s="51" t="s">
        <v>26</v>
      </c>
      <c r="D6" s="24" t="s">
        <v>201</v>
      </c>
      <c r="E6" s="24" t="s">
        <v>202</v>
      </c>
      <c r="F6" s="26" t="s">
        <v>36</v>
      </c>
      <c r="G6" s="26" t="s">
        <v>203</v>
      </c>
      <c r="H6" s="26" t="s">
        <v>204</v>
      </c>
      <c r="I6" s="280" t="s">
        <v>205</v>
      </c>
      <c r="J6" s="276">
        <v>1</v>
      </c>
      <c r="K6" s="270">
        <v>300</v>
      </c>
      <c r="L6" s="270">
        <f>1.09*300</f>
        <v>327</v>
      </c>
      <c r="M6" s="270" t="s">
        <v>206</v>
      </c>
      <c r="N6" s="149" t="s">
        <v>207</v>
      </c>
      <c r="O6" s="36"/>
      <c r="P6" s="150">
        <v>360</v>
      </c>
      <c r="Q6" s="36"/>
      <c r="R6" s="36"/>
      <c r="S6" s="151"/>
      <c r="T6" s="13"/>
    </row>
    <row r="7" spans="1:20" ht="87" customHeight="1" x14ac:dyDescent="0.2">
      <c r="A7" s="20" t="s">
        <v>208</v>
      </c>
      <c r="B7" s="51" t="s">
        <v>209</v>
      </c>
      <c r="C7" s="51" t="s">
        <v>55</v>
      </c>
      <c r="D7" s="24" t="s">
        <v>210</v>
      </c>
      <c r="E7" s="24" t="s">
        <v>211</v>
      </c>
      <c r="F7" s="26" t="s">
        <v>212</v>
      </c>
      <c r="G7" s="26" t="s">
        <v>30</v>
      </c>
      <c r="H7" s="26">
        <v>1</v>
      </c>
      <c r="I7" s="279" t="s">
        <v>213</v>
      </c>
      <c r="J7" s="276">
        <v>15</v>
      </c>
      <c r="K7" s="270">
        <v>1500</v>
      </c>
      <c r="L7" s="270">
        <v>1635</v>
      </c>
      <c r="M7" s="270">
        <v>0</v>
      </c>
      <c r="N7" s="149">
        <v>1635</v>
      </c>
      <c r="O7" s="150">
        <v>1635</v>
      </c>
      <c r="P7" s="36"/>
      <c r="Q7" s="36"/>
      <c r="R7" s="36"/>
      <c r="S7" s="151"/>
      <c r="T7" s="13"/>
    </row>
    <row r="8" spans="1:20" ht="87" customHeight="1" x14ac:dyDescent="0.2">
      <c r="A8" s="20" t="s">
        <v>214</v>
      </c>
      <c r="B8" s="51" t="s">
        <v>215</v>
      </c>
      <c r="C8" s="51" t="s">
        <v>216</v>
      </c>
      <c r="D8" s="24" t="s">
        <v>217</v>
      </c>
      <c r="E8" s="24" t="s">
        <v>218</v>
      </c>
      <c r="F8" s="26" t="s">
        <v>36</v>
      </c>
      <c r="G8" s="26" t="s">
        <v>30</v>
      </c>
      <c r="H8" s="26">
        <v>1</v>
      </c>
      <c r="I8" s="270" t="s">
        <v>219</v>
      </c>
      <c r="J8" s="276">
        <v>6</v>
      </c>
      <c r="K8" s="270">
        <v>3000</v>
      </c>
      <c r="L8" s="270" t="s">
        <v>220</v>
      </c>
      <c r="M8" s="270"/>
      <c r="N8" s="149">
        <v>3000</v>
      </c>
      <c r="O8" s="36"/>
      <c r="P8" s="36"/>
      <c r="Q8" s="150">
        <v>3000</v>
      </c>
      <c r="R8" s="36"/>
      <c r="S8" s="151"/>
      <c r="T8" s="13"/>
    </row>
    <row r="9" spans="1:20" ht="87" customHeight="1" x14ac:dyDescent="0.2">
      <c r="A9" s="20" t="s">
        <v>214</v>
      </c>
      <c r="B9" s="51" t="s">
        <v>25</v>
      </c>
      <c r="C9" s="51" t="s">
        <v>221</v>
      </c>
      <c r="D9" s="24" t="s">
        <v>222</v>
      </c>
      <c r="E9" s="24" t="s">
        <v>223</v>
      </c>
      <c r="F9" s="20" t="s">
        <v>36</v>
      </c>
      <c r="G9" s="26" t="s">
        <v>30</v>
      </c>
      <c r="H9" s="26">
        <v>1</v>
      </c>
      <c r="I9" s="277" t="s">
        <v>224</v>
      </c>
      <c r="J9" s="276">
        <v>10</v>
      </c>
      <c r="K9" s="270">
        <v>5000</v>
      </c>
      <c r="L9" s="270" t="s">
        <v>220</v>
      </c>
      <c r="M9" s="270">
        <v>0</v>
      </c>
      <c r="N9" s="149">
        <v>5000</v>
      </c>
      <c r="O9" s="36"/>
      <c r="P9" s="36"/>
      <c r="Q9" s="150">
        <v>5000</v>
      </c>
      <c r="R9" s="36"/>
      <c r="S9" s="151"/>
      <c r="T9" s="13"/>
    </row>
    <row r="10" spans="1:20" ht="31.75" customHeight="1" x14ac:dyDescent="0.2">
      <c r="A10" s="20" t="s">
        <v>214</v>
      </c>
      <c r="B10" s="51" t="s">
        <v>25</v>
      </c>
      <c r="C10" s="51" t="s">
        <v>225</v>
      </c>
      <c r="D10" s="13" t="s">
        <v>226</v>
      </c>
      <c r="E10" s="24" t="s">
        <v>227</v>
      </c>
      <c r="F10" s="26" t="s">
        <v>36</v>
      </c>
      <c r="G10" s="26" t="s">
        <v>30</v>
      </c>
      <c r="H10" s="20">
        <v>1</v>
      </c>
      <c r="I10" s="270" t="s">
        <v>228</v>
      </c>
      <c r="J10" s="278">
        <v>3</v>
      </c>
      <c r="K10" s="270">
        <v>6000</v>
      </c>
      <c r="L10" s="270"/>
      <c r="M10" s="270"/>
      <c r="N10" s="149">
        <v>6000</v>
      </c>
      <c r="O10" s="16"/>
      <c r="P10" s="16"/>
      <c r="Q10" s="152">
        <v>6000</v>
      </c>
      <c r="R10" s="16"/>
      <c r="S10" s="153"/>
      <c r="T10" s="13"/>
    </row>
    <row r="11" spans="1:20" ht="31.75" customHeight="1" x14ac:dyDescent="0.2">
      <c r="A11" s="20" t="s">
        <v>214</v>
      </c>
      <c r="B11" s="51" t="s">
        <v>25</v>
      </c>
      <c r="C11" s="51" t="s">
        <v>229</v>
      </c>
      <c r="D11" s="13" t="s">
        <v>230</v>
      </c>
      <c r="E11" s="24" t="s">
        <v>231</v>
      </c>
      <c r="F11" s="26" t="s">
        <v>36</v>
      </c>
      <c r="G11" s="26" t="s">
        <v>30</v>
      </c>
      <c r="H11" s="154">
        <v>1</v>
      </c>
      <c r="I11" s="270">
        <v>350</v>
      </c>
      <c r="J11" s="278">
        <v>3</v>
      </c>
      <c r="K11" s="270">
        <v>350</v>
      </c>
      <c r="L11" s="270"/>
      <c r="M11" s="270"/>
      <c r="N11" s="149">
        <v>350</v>
      </c>
      <c r="O11" s="16"/>
      <c r="P11" s="16"/>
      <c r="Q11" s="152">
        <v>350</v>
      </c>
      <c r="R11" s="16"/>
      <c r="S11" s="153"/>
      <c r="T11" s="13"/>
    </row>
    <row r="12" spans="1:20" ht="87" customHeight="1" x14ac:dyDescent="0.2">
      <c r="A12" s="32" t="s">
        <v>55</v>
      </c>
      <c r="B12" s="51" t="s">
        <v>48</v>
      </c>
      <c r="C12" s="51" t="s">
        <v>55</v>
      </c>
      <c r="D12" s="24" t="s">
        <v>232</v>
      </c>
      <c r="E12" s="24" t="s">
        <v>233</v>
      </c>
      <c r="F12" s="20" t="s">
        <v>234</v>
      </c>
      <c r="G12" s="26" t="s">
        <v>37</v>
      </c>
      <c r="H12" s="26">
        <v>1</v>
      </c>
      <c r="I12" s="277" t="s">
        <v>235</v>
      </c>
      <c r="J12" s="276">
        <v>35</v>
      </c>
      <c r="K12" s="270">
        <v>2500</v>
      </c>
      <c r="L12" s="270">
        <v>2725</v>
      </c>
      <c r="M12" s="270">
        <v>0</v>
      </c>
      <c r="N12" s="149">
        <v>2725</v>
      </c>
      <c r="O12" s="36"/>
      <c r="P12" s="36"/>
      <c r="Q12" s="150">
        <v>2725</v>
      </c>
      <c r="R12" s="36"/>
      <c r="S12" s="271"/>
      <c r="T12" s="13"/>
    </row>
    <row r="13" spans="1:20" customFormat="1" x14ac:dyDescent="0.2">
      <c r="A13" s="273" t="s">
        <v>336</v>
      </c>
      <c r="B13" s="273" t="s">
        <v>79</v>
      </c>
      <c r="C13" s="273" t="s">
        <v>195</v>
      </c>
      <c r="D13" s="273" t="s">
        <v>335</v>
      </c>
      <c r="E13" s="273"/>
      <c r="F13" s="273"/>
      <c r="G13" s="273"/>
      <c r="H13" s="273" t="s">
        <v>331</v>
      </c>
      <c r="I13" s="274">
        <v>100000</v>
      </c>
      <c r="J13" s="273" t="s">
        <v>330</v>
      </c>
      <c r="K13" s="273"/>
      <c r="L13" s="273"/>
      <c r="M13" s="273"/>
      <c r="N13" s="272"/>
      <c r="O13" s="16"/>
      <c r="P13" s="16"/>
      <c r="Q13" s="16"/>
      <c r="R13" s="16"/>
      <c r="S13" s="271"/>
      <c r="T13" s="272"/>
    </row>
    <row r="14" spans="1:20" customFormat="1" ht="66" x14ac:dyDescent="0.2">
      <c r="A14" s="273" t="s">
        <v>334</v>
      </c>
      <c r="B14" s="273" t="s">
        <v>25</v>
      </c>
      <c r="C14" s="273" t="s">
        <v>195</v>
      </c>
      <c r="D14" s="275" t="s">
        <v>333</v>
      </c>
      <c r="E14" s="275" t="s">
        <v>332</v>
      </c>
      <c r="F14" s="273"/>
      <c r="G14" s="273"/>
      <c r="H14" s="273" t="s">
        <v>331</v>
      </c>
      <c r="I14" s="274">
        <v>100000</v>
      </c>
      <c r="J14" s="273" t="s">
        <v>330</v>
      </c>
      <c r="K14" s="273"/>
      <c r="L14" s="273"/>
      <c r="M14" s="273"/>
      <c r="N14" s="272"/>
      <c r="O14" s="16"/>
      <c r="P14" s="16"/>
      <c r="Q14" s="16"/>
      <c r="R14" s="16"/>
      <c r="S14" s="271"/>
      <c r="T14" s="272"/>
    </row>
    <row r="15" spans="1:20" ht="31.75" customHeight="1" x14ac:dyDescent="0.2">
      <c r="A15" s="20"/>
      <c r="B15" s="51"/>
      <c r="C15" s="51"/>
      <c r="D15" s="13"/>
      <c r="E15" s="24"/>
      <c r="F15" s="26"/>
      <c r="G15" s="26"/>
      <c r="H15" s="20"/>
      <c r="I15" s="270"/>
      <c r="J15" s="269"/>
      <c r="K15" s="270"/>
      <c r="L15" s="270"/>
      <c r="M15" s="270"/>
      <c r="N15" s="149"/>
      <c r="O15" s="16"/>
      <c r="P15" s="16"/>
      <c r="Q15" s="16"/>
      <c r="R15" s="16"/>
      <c r="S15" s="271"/>
      <c r="T15" s="13"/>
    </row>
    <row r="16" spans="1:20" ht="31.75" customHeight="1" x14ac:dyDescent="0.2">
      <c r="A16" s="20"/>
      <c r="B16" s="51"/>
      <c r="C16" s="51"/>
      <c r="D16" s="13"/>
      <c r="E16" s="24"/>
      <c r="F16" s="26"/>
      <c r="G16" s="26"/>
      <c r="H16" s="20"/>
      <c r="I16" s="270"/>
      <c r="J16" s="269"/>
      <c r="K16" s="270"/>
      <c r="L16" s="270"/>
      <c r="M16" s="270"/>
      <c r="N16" s="149"/>
      <c r="O16" s="16"/>
      <c r="P16" s="16"/>
      <c r="Q16" s="16"/>
      <c r="R16" s="16"/>
      <c r="S16" s="151"/>
      <c r="T16" s="13"/>
    </row>
    <row r="17" spans="1:20" ht="31.75" customHeight="1" x14ac:dyDescent="0.2">
      <c r="A17" s="20"/>
      <c r="B17" s="51"/>
      <c r="C17" s="51"/>
      <c r="D17" s="13"/>
      <c r="E17" s="24"/>
      <c r="F17" s="26"/>
      <c r="G17" s="26"/>
      <c r="H17" s="20"/>
      <c r="I17" s="270"/>
      <c r="J17" s="269"/>
      <c r="K17" s="270"/>
      <c r="L17" s="270"/>
      <c r="M17" s="270"/>
      <c r="N17" s="149"/>
      <c r="O17" s="16"/>
      <c r="P17" s="16"/>
      <c r="Q17" s="16"/>
      <c r="R17" s="16"/>
      <c r="S17" s="151"/>
      <c r="T17" s="13"/>
    </row>
    <row r="18" spans="1:20" ht="31.75" customHeight="1" x14ac:dyDescent="0.2">
      <c r="A18" s="20"/>
      <c r="B18" s="51"/>
      <c r="C18" s="51"/>
      <c r="D18" s="13"/>
      <c r="E18" s="24"/>
      <c r="F18" s="26"/>
      <c r="G18" s="26"/>
      <c r="H18" s="20"/>
      <c r="I18" s="270"/>
      <c r="J18" s="269"/>
      <c r="K18" s="270"/>
      <c r="L18" s="270"/>
      <c r="M18" s="270"/>
      <c r="N18" s="149"/>
      <c r="O18" s="16"/>
      <c r="P18" s="16"/>
      <c r="Q18" s="16"/>
      <c r="R18" s="16"/>
      <c r="S18" s="151"/>
      <c r="T18" s="13"/>
    </row>
    <row r="19" spans="1:20" ht="31.75" customHeight="1" x14ac:dyDescent="0.2">
      <c r="A19" s="20"/>
      <c r="B19" s="51"/>
      <c r="C19" s="51"/>
      <c r="D19" s="13"/>
      <c r="E19" s="24"/>
      <c r="F19" s="26"/>
      <c r="G19" s="26"/>
      <c r="H19" s="20"/>
      <c r="I19" s="270"/>
      <c r="J19" s="269"/>
      <c r="K19" s="270"/>
      <c r="L19" s="270"/>
      <c r="M19" s="270"/>
      <c r="N19" s="149"/>
      <c r="O19" s="16"/>
      <c r="P19" s="16"/>
      <c r="Q19" s="16"/>
      <c r="R19" s="16"/>
      <c r="S19" s="151"/>
      <c r="T19" s="13"/>
    </row>
    <row r="20" spans="1:20" ht="31.75" customHeight="1" x14ac:dyDescent="0.2">
      <c r="A20" s="20"/>
      <c r="B20" s="51"/>
      <c r="C20" s="51"/>
      <c r="D20" s="13"/>
      <c r="E20" s="24"/>
      <c r="F20" s="26"/>
      <c r="G20" s="26"/>
      <c r="H20" s="20"/>
      <c r="I20" s="270"/>
      <c r="J20" s="269"/>
      <c r="K20" s="270"/>
      <c r="L20" s="270"/>
      <c r="M20" s="270"/>
      <c r="N20" s="149"/>
      <c r="O20" s="16"/>
      <c r="P20" s="16"/>
      <c r="Q20" s="16"/>
      <c r="R20" s="16"/>
      <c r="S20" s="151"/>
      <c r="T20" s="13"/>
    </row>
    <row r="21" spans="1:20" ht="31.75" customHeight="1" x14ac:dyDescent="0.2">
      <c r="A21" s="20"/>
      <c r="B21" s="51"/>
      <c r="C21" s="51"/>
      <c r="D21" s="13"/>
      <c r="E21" s="24"/>
      <c r="F21" s="26"/>
      <c r="G21" s="26"/>
      <c r="H21" s="20"/>
      <c r="I21" s="270"/>
      <c r="J21" s="269"/>
      <c r="K21" s="270"/>
      <c r="L21" s="270"/>
      <c r="M21" s="270"/>
      <c r="N21" s="149"/>
      <c r="O21" s="16"/>
      <c r="P21" s="16"/>
      <c r="Q21" s="16"/>
      <c r="R21" s="16"/>
      <c r="S21" s="153"/>
      <c r="T21" s="13"/>
    </row>
    <row r="22" spans="1:20" ht="31.75" customHeight="1" x14ac:dyDescent="0.2">
      <c r="A22" s="20"/>
      <c r="B22" s="51"/>
      <c r="C22" s="51"/>
      <c r="D22" s="13"/>
      <c r="E22" s="24"/>
      <c r="F22" s="26"/>
      <c r="G22" s="26"/>
      <c r="H22" s="20"/>
      <c r="I22" s="270"/>
      <c r="J22" s="269"/>
      <c r="K22" s="270"/>
      <c r="L22" s="270"/>
      <c r="M22" s="270"/>
      <c r="N22" s="149"/>
      <c r="O22" s="16"/>
      <c r="P22" s="16"/>
      <c r="Q22" s="16"/>
      <c r="R22" s="16"/>
      <c r="S22" s="153"/>
      <c r="T22" s="13"/>
    </row>
    <row r="23" spans="1:20" ht="31.75" customHeight="1" x14ac:dyDescent="0.2">
      <c r="A23" s="20"/>
      <c r="B23" s="51"/>
      <c r="C23" s="51"/>
      <c r="D23" s="13"/>
      <c r="E23" s="24"/>
      <c r="F23" s="26"/>
      <c r="G23" s="26"/>
      <c r="H23" s="20"/>
      <c r="I23" s="270"/>
      <c r="J23" s="269"/>
      <c r="K23" s="270"/>
      <c r="L23" s="270"/>
      <c r="M23" s="270"/>
      <c r="N23" s="149"/>
      <c r="O23" s="16"/>
      <c r="P23" s="16"/>
      <c r="Q23" s="16"/>
      <c r="R23" s="16"/>
      <c r="S23" s="153"/>
      <c r="T23" s="13"/>
    </row>
    <row r="24" spans="1:20" ht="31.75" customHeight="1" x14ac:dyDescent="0.2">
      <c r="A24" s="20"/>
      <c r="B24" s="51"/>
      <c r="C24" s="51"/>
      <c r="D24" s="13"/>
      <c r="E24" s="24"/>
      <c r="F24" s="26"/>
      <c r="G24" s="26"/>
      <c r="H24" s="20"/>
      <c r="I24" s="270"/>
      <c r="J24" s="269"/>
      <c r="K24" s="270"/>
      <c r="L24" s="270"/>
      <c r="M24" s="270"/>
      <c r="N24" s="149"/>
      <c r="O24" s="16"/>
      <c r="P24" s="16"/>
      <c r="Q24" s="16"/>
      <c r="R24" s="16"/>
      <c r="S24" s="153"/>
      <c r="T24" s="13"/>
    </row>
    <row r="25" spans="1:20" ht="31.75" customHeight="1" x14ac:dyDescent="0.2">
      <c r="A25" s="20"/>
      <c r="B25" s="51"/>
      <c r="C25" s="51"/>
      <c r="D25" s="13"/>
      <c r="E25" s="24"/>
      <c r="F25" s="26"/>
      <c r="G25" s="26"/>
      <c r="H25" s="20"/>
      <c r="I25" s="270"/>
      <c r="J25" s="269"/>
      <c r="K25" s="270"/>
      <c r="L25" s="270"/>
      <c r="M25" s="270"/>
      <c r="N25" s="149"/>
      <c r="O25" s="16"/>
      <c r="P25" s="16"/>
      <c r="Q25" s="16"/>
      <c r="R25" s="16"/>
      <c r="S25" s="153"/>
      <c r="T25" s="13"/>
    </row>
    <row r="26" spans="1:20" ht="31.75" customHeight="1" x14ac:dyDescent="0.2">
      <c r="A26" s="20"/>
      <c r="B26" s="51"/>
      <c r="C26" s="51"/>
      <c r="D26" s="13"/>
      <c r="E26" s="24"/>
      <c r="F26" s="26"/>
      <c r="G26" s="26"/>
      <c r="H26" s="20"/>
      <c r="I26" s="28"/>
      <c r="J26" s="269"/>
      <c r="K26" s="28"/>
      <c r="L26" s="28"/>
      <c r="M26" s="28"/>
      <c r="N26" s="30"/>
      <c r="O26" s="16"/>
      <c r="P26" s="16"/>
      <c r="Q26" s="16"/>
      <c r="R26" s="16"/>
      <c r="S26" s="153"/>
      <c r="T26" s="13"/>
    </row>
    <row r="27" spans="1:20" ht="31.75" customHeight="1" thickBot="1" x14ac:dyDescent="0.25">
      <c r="A27" s="20"/>
      <c r="B27" s="51"/>
      <c r="C27" s="51"/>
      <c r="D27" s="13"/>
      <c r="E27" s="24"/>
      <c r="F27" s="26"/>
      <c r="G27" s="26"/>
      <c r="H27" s="20"/>
      <c r="I27" s="28"/>
      <c r="J27" s="269"/>
      <c r="K27" s="28"/>
      <c r="L27" s="28"/>
      <c r="M27" s="28"/>
      <c r="N27" s="30"/>
      <c r="O27" s="16"/>
      <c r="P27" s="16"/>
      <c r="Q27" s="16"/>
      <c r="R27" s="16"/>
      <c r="S27" s="153"/>
      <c r="T27" s="13"/>
    </row>
    <row r="28" spans="1:20" ht="31.75" customHeight="1" thickBot="1" x14ac:dyDescent="0.25">
      <c r="A28" s="219" t="s">
        <v>279</v>
      </c>
      <c r="B28" s="218"/>
      <c r="C28" s="218"/>
      <c r="D28" s="218"/>
      <c r="E28" s="218"/>
      <c r="F28" s="218"/>
      <c r="G28" s="218"/>
      <c r="H28" s="218"/>
      <c r="I28" s="218"/>
      <c r="J28" s="218"/>
      <c r="K28" s="218"/>
      <c r="L28" s="218"/>
      <c r="M28" s="217"/>
      <c r="N28" s="216">
        <f>SUM(N6:N27)</f>
        <v>18710</v>
      </c>
      <c r="O28" s="215"/>
      <c r="P28" s="214"/>
      <c r="Q28" s="214"/>
      <c r="R28" s="214"/>
      <c r="S28" s="213"/>
      <c r="T28" s="212"/>
    </row>
    <row r="29" spans="1:20" ht="31.75" customHeight="1" x14ac:dyDescent="0.2">
      <c r="A29" s="1"/>
      <c r="B29" s="1"/>
      <c r="C29" s="1"/>
      <c r="D29" s="1"/>
      <c r="E29" s="1"/>
      <c r="F29" s="147"/>
      <c r="G29" s="147"/>
      <c r="H29" s="147"/>
      <c r="I29" s="1"/>
      <c r="J29" s="3"/>
      <c r="K29" s="1"/>
      <c r="L29" s="1"/>
      <c r="M29" s="1"/>
      <c r="N29" s="211" t="s">
        <v>278</v>
      </c>
      <c r="O29" s="211" t="s">
        <v>278</v>
      </c>
      <c r="P29" s="147"/>
      <c r="Q29" s="147"/>
      <c r="R29" s="147"/>
      <c r="S29" s="1"/>
      <c r="T29" s="4"/>
    </row>
  </sheetData>
  <mergeCells count="7">
    <mergeCell ref="A28:M28"/>
    <mergeCell ref="T4:T5"/>
    <mergeCell ref="B1:N1"/>
    <mergeCell ref="B2:R2"/>
    <mergeCell ref="B3:R3"/>
    <mergeCell ref="A4:N4"/>
    <mergeCell ref="O4:S4"/>
  </mergeCells>
  <dataValidations count="1">
    <dataValidation allowBlank="1" showInputMessage="1" showErrorMessage="1" promptTitle="Enter Justification" sqref="E6 E8" xr:uid="{00000000-0002-0000-0000-000000000000}"/>
  </dataValidation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DE18-0F7D-BE4A-B30F-1AB398497194}">
  <sheetPr>
    <pageSetUpPr fitToPage="1"/>
  </sheetPr>
  <dimension ref="A1:T24"/>
  <sheetViews>
    <sheetView topLeftCell="A10" zoomScaleNormal="100" workbookViewId="0">
      <selection activeCell="C13" sqref="C13"/>
    </sheetView>
  </sheetViews>
  <sheetFormatPr baseColWidth="10" defaultColWidth="8.83203125" defaultRowHeight="16" x14ac:dyDescent="0.2"/>
  <cols>
    <col min="1" max="2" width="8.83203125" style="5"/>
    <col min="3" max="3" width="13.33203125" style="5" customWidth="1"/>
    <col min="4" max="5" width="29.1640625" style="5" customWidth="1"/>
    <col min="6" max="7" width="8.83203125" style="209"/>
    <col min="8" max="8" width="10.83203125" style="209" customWidth="1"/>
    <col min="9" max="9" width="12.6640625" style="5" customWidth="1"/>
    <col min="10" max="10" width="9" style="5" bestFit="1" customWidth="1"/>
    <col min="11" max="11" width="13.5" style="5" customWidth="1"/>
    <col min="12" max="12" width="12.83203125" style="5" customWidth="1"/>
    <col min="13" max="13" width="15" style="5" customWidth="1"/>
    <col min="14" max="14" width="14.6640625" style="5" customWidth="1"/>
    <col min="15" max="19" width="8.83203125" style="5"/>
    <col min="20" max="20" width="31.33203125" style="208" customWidth="1"/>
    <col min="21" max="16384" width="8.83203125" style="5"/>
  </cols>
  <sheetData>
    <row r="1" spans="1:20" x14ac:dyDescent="0.2">
      <c r="A1" s="1"/>
      <c r="B1" s="181" t="s">
        <v>0</v>
      </c>
      <c r="C1" s="181"/>
      <c r="D1" s="181"/>
      <c r="E1" s="181"/>
      <c r="F1" s="181"/>
      <c r="G1" s="181"/>
      <c r="H1" s="181"/>
      <c r="I1" s="181"/>
      <c r="J1" s="181"/>
      <c r="K1" s="181"/>
      <c r="L1" s="181"/>
      <c r="M1" s="181"/>
      <c r="N1" s="181"/>
      <c r="O1" s="147"/>
      <c r="P1" s="147"/>
      <c r="Q1" s="147"/>
      <c r="R1" s="147"/>
      <c r="S1" s="1"/>
      <c r="T1" s="4"/>
    </row>
    <row r="2" spans="1:20" x14ac:dyDescent="0.2">
      <c r="A2" s="1"/>
      <c r="B2" s="182" t="s">
        <v>290</v>
      </c>
      <c r="C2" s="186"/>
      <c r="D2" s="187"/>
      <c r="E2" s="187"/>
      <c r="F2" s="187"/>
      <c r="G2" s="187"/>
      <c r="H2" s="187"/>
      <c r="I2" s="187"/>
      <c r="J2" s="187"/>
      <c r="K2" s="187"/>
      <c r="L2" s="187"/>
      <c r="M2" s="187"/>
      <c r="N2" s="187"/>
      <c r="O2" s="187"/>
      <c r="P2" s="187"/>
      <c r="Q2" s="187"/>
      <c r="R2" s="188"/>
      <c r="S2" s="1"/>
      <c r="T2" s="4"/>
    </row>
    <row r="3" spans="1:20" ht="94.5" customHeight="1" x14ac:dyDescent="0.2">
      <c r="A3" s="1"/>
      <c r="B3" s="183" t="s">
        <v>2</v>
      </c>
      <c r="C3" s="189"/>
      <c r="D3" s="190"/>
      <c r="E3" s="190"/>
      <c r="F3" s="190"/>
      <c r="G3" s="190"/>
      <c r="H3" s="190"/>
      <c r="I3" s="190"/>
      <c r="J3" s="190"/>
      <c r="K3" s="190"/>
      <c r="L3" s="190"/>
      <c r="M3" s="190"/>
      <c r="N3" s="190"/>
      <c r="O3" s="190"/>
      <c r="P3" s="190"/>
      <c r="Q3" s="190"/>
      <c r="R3" s="190"/>
      <c r="S3" s="1"/>
      <c r="T3" s="4"/>
    </row>
    <row r="4" spans="1:20" ht="23" x14ac:dyDescent="0.2">
      <c r="A4" s="184"/>
      <c r="B4" s="184"/>
      <c r="C4" s="184"/>
      <c r="D4" s="184"/>
      <c r="E4" s="184"/>
      <c r="F4" s="184"/>
      <c r="G4" s="184"/>
      <c r="H4" s="184"/>
      <c r="I4" s="184"/>
      <c r="J4" s="184"/>
      <c r="K4" s="184"/>
      <c r="L4" s="184"/>
      <c r="M4" s="184"/>
      <c r="N4" s="184"/>
      <c r="O4" s="185" t="s">
        <v>3</v>
      </c>
      <c r="P4" s="185"/>
      <c r="Q4" s="185"/>
      <c r="R4" s="185"/>
      <c r="S4" s="191"/>
      <c r="T4" s="180" t="s">
        <v>4</v>
      </c>
    </row>
    <row r="5" spans="1:20" ht="143" x14ac:dyDescent="0.2">
      <c r="A5" s="7" t="s">
        <v>5</v>
      </c>
      <c r="B5" s="8" t="s">
        <v>6</v>
      </c>
      <c r="C5" s="8" t="s">
        <v>7</v>
      </c>
      <c r="D5" s="9" t="s">
        <v>8</v>
      </c>
      <c r="E5" s="9" t="s">
        <v>9</v>
      </c>
      <c r="F5" s="7" t="s">
        <v>10</v>
      </c>
      <c r="G5" s="7" t="s">
        <v>11</v>
      </c>
      <c r="H5" s="7" t="s">
        <v>12</v>
      </c>
      <c r="I5" s="7" t="s">
        <v>13</v>
      </c>
      <c r="J5" s="7" t="s">
        <v>14</v>
      </c>
      <c r="K5" s="10" t="s">
        <v>15</v>
      </c>
      <c r="L5" s="7" t="s">
        <v>16</v>
      </c>
      <c r="M5" s="7" t="s">
        <v>17</v>
      </c>
      <c r="N5" s="7" t="s">
        <v>18</v>
      </c>
      <c r="O5" s="11" t="s">
        <v>19</v>
      </c>
      <c r="P5" s="11" t="s">
        <v>20</v>
      </c>
      <c r="Q5" s="11" t="s">
        <v>21</v>
      </c>
      <c r="R5" s="11" t="s">
        <v>22</v>
      </c>
      <c r="S5" s="148" t="s">
        <v>66</v>
      </c>
      <c r="T5" s="192"/>
    </row>
    <row r="6" spans="1:20" s="221" customFormat="1" ht="157" customHeight="1" x14ac:dyDescent="0.2">
      <c r="A6" s="259" t="s">
        <v>296</v>
      </c>
      <c r="B6" s="258" t="s">
        <v>25</v>
      </c>
      <c r="C6" s="258" t="s">
        <v>108</v>
      </c>
      <c r="D6" s="258" t="s">
        <v>319</v>
      </c>
      <c r="E6" s="258" t="s">
        <v>318</v>
      </c>
      <c r="F6" s="258" t="s">
        <v>292</v>
      </c>
      <c r="G6" s="258" t="s">
        <v>292</v>
      </c>
      <c r="H6" s="257" t="s">
        <v>329</v>
      </c>
      <c r="I6" s="256">
        <v>932</v>
      </c>
      <c r="J6" s="255">
        <v>12</v>
      </c>
      <c r="K6" s="254">
        <v>11184</v>
      </c>
      <c r="L6" s="253">
        <v>0</v>
      </c>
      <c r="M6" s="252"/>
      <c r="N6" s="225">
        <v>11184</v>
      </c>
      <c r="O6" s="224"/>
      <c r="P6" s="224"/>
      <c r="Q6" s="224"/>
      <c r="R6" s="224"/>
      <c r="S6" s="223"/>
      <c r="T6" s="222"/>
    </row>
    <row r="7" spans="1:20" s="248" customFormat="1" ht="155" customHeight="1" x14ac:dyDescent="0.2">
      <c r="A7" s="227" t="s">
        <v>310</v>
      </c>
      <c r="B7" s="231" t="s">
        <v>25</v>
      </c>
      <c r="C7" s="231" t="s">
        <v>26</v>
      </c>
      <c r="D7" s="229" t="s">
        <v>328</v>
      </c>
      <c r="E7" s="267" t="s">
        <v>327</v>
      </c>
      <c r="F7" s="228" t="s">
        <v>321</v>
      </c>
      <c r="G7" s="228" t="s">
        <v>321</v>
      </c>
      <c r="H7" s="228" t="s">
        <v>320</v>
      </c>
      <c r="I7" s="226">
        <v>10000</v>
      </c>
      <c r="J7" s="227">
        <v>2</v>
      </c>
      <c r="K7" s="226">
        <v>20000</v>
      </c>
      <c r="L7" s="226">
        <v>300</v>
      </c>
      <c r="M7" s="226">
        <v>500</v>
      </c>
      <c r="N7" s="225">
        <v>20800</v>
      </c>
      <c r="O7" s="251"/>
      <c r="P7" s="251"/>
      <c r="Q7" s="251" t="s">
        <v>31</v>
      </c>
      <c r="R7" s="251" t="s">
        <v>31</v>
      </c>
      <c r="S7" s="250"/>
      <c r="T7" s="249"/>
    </row>
    <row r="8" spans="1:20" s="221" customFormat="1" ht="173" customHeight="1" x14ac:dyDescent="0.2">
      <c r="A8" s="264" t="s">
        <v>303</v>
      </c>
      <c r="B8" s="266" t="s">
        <v>326</v>
      </c>
      <c r="C8" s="266" t="s">
        <v>26</v>
      </c>
      <c r="D8" s="230" t="s">
        <v>325</v>
      </c>
      <c r="E8" s="230" t="s">
        <v>324</v>
      </c>
      <c r="F8" s="265" t="s">
        <v>29</v>
      </c>
      <c r="G8" s="265" t="s">
        <v>312</v>
      </c>
      <c r="H8" s="265" t="s">
        <v>320</v>
      </c>
      <c r="I8" s="263">
        <v>650</v>
      </c>
      <c r="J8" s="264">
        <v>20</v>
      </c>
      <c r="K8" s="263">
        <v>13000</v>
      </c>
      <c r="L8" s="263">
        <v>1170</v>
      </c>
      <c r="M8" s="263">
        <v>300</v>
      </c>
      <c r="N8" s="225">
        <v>14470</v>
      </c>
      <c r="O8" s="262"/>
      <c r="P8" s="262"/>
      <c r="Q8" s="262"/>
      <c r="R8" s="262"/>
      <c r="S8" s="261"/>
      <c r="T8" s="222"/>
    </row>
    <row r="9" spans="1:20" ht="184" customHeight="1" x14ac:dyDescent="0.2">
      <c r="A9" s="227" t="s">
        <v>301</v>
      </c>
      <c r="B9" s="231" t="s">
        <v>25</v>
      </c>
      <c r="C9" s="231" t="s">
        <v>26</v>
      </c>
      <c r="D9" s="230" t="s">
        <v>323</v>
      </c>
      <c r="E9" s="230" t="s">
        <v>322</v>
      </c>
      <c r="F9" s="228" t="s">
        <v>321</v>
      </c>
      <c r="G9" s="228" t="s">
        <v>321</v>
      </c>
      <c r="H9" s="227" t="s">
        <v>320</v>
      </c>
      <c r="I9" s="226">
        <v>10000</v>
      </c>
      <c r="J9" s="228">
        <v>1</v>
      </c>
      <c r="K9" s="226">
        <v>2500</v>
      </c>
      <c r="L9" s="226"/>
      <c r="M9" s="226"/>
      <c r="N9" s="260">
        <v>12500</v>
      </c>
      <c r="O9" s="16"/>
      <c r="P9" s="16"/>
      <c r="Q9" s="16"/>
      <c r="R9" s="16"/>
      <c r="S9" s="151"/>
      <c r="T9" s="13"/>
    </row>
    <row r="10" spans="1:20" s="221" customFormat="1" ht="50" customHeight="1" x14ac:dyDescent="0.2">
      <c r="A10" s="232" t="s">
        <v>296</v>
      </c>
      <c r="B10" s="231" t="s">
        <v>295</v>
      </c>
      <c r="C10" s="231" t="s">
        <v>42</v>
      </c>
      <c r="D10" s="230" t="s">
        <v>294</v>
      </c>
      <c r="E10" s="229" t="s">
        <v>293</v>
      </c>
      <c r="F10" s="228" t="s">
        <v>292</v>
      </c>
      <c r="G10" s="228" t="s">
        <v>292</v>
      </c>
      <c r="H10" s="227" t="s">
        <v>317</v>
      </c>
      <c r="I10" s="226">
        <v>2500</v>
      </c>
      <c r="J10" s="227">
        <v>4</v>
      </c>
      <c r="K10" s="226">
        <v>10000</v>
      </c>
      <c r="L10" s="226"/>
      <c r="M10" s="226"/>
      <c r="N10" s="225">
        <v>10000</v>
      </c>
      <c r="O10" s="224"/>
      <c r="P10" s="224"/>
      <c r="Q10" s="224" t="s">
        <v>31</v>
      </c>
      <c r="R10" s="224"/>
      <c r="S10" s="223"/>
      <c r="T10" s="222"/>
    </row>
    <row r="11" spans="1:20" s="221" customFormat="1" ht="157" customHeight="1" x14ac:dyDescent="0.2">
      <c r="A11" s="259" t="s">
        <v>296</v>
      </c>
      <c r="B11" s="258" t="s">
        <v>25</v>
      </c>
      <c r="C11" s="258" t="s">
        <v>108</v>
      </c>
      <c r="D11" s="258" t="s">
        <v>319</v>
      </c>
      <c r="E11" s="258" t="s">
        <v>318</v>
      </c>
      <c r="F11" s="258" t="s">
        <v>292</v>
      </c>
      <c r="G11" s="258" t="s">
        <v>292</v>
      </c>
      <c r="H11" s="257" t="s">
        <v>317</v>
      </c>
      <c r="I11" s="256">
        <v>932</v>
      </c>
      <c r="J11" s="255">
        <v>12</v>
      </c>
      <c r="K11" s="254">
        <v>11184</v>
      </c>
      <c r="L11" s="253">
        <v>0</v>
      </c>
      <c r="M11" s="252"/>
      <c r="N11" s="225">
        <v>11184</v>
      </c>
      <c r="O11" s="224"/>
      <c r="P11" s="224"/>
      <c r="Q11" s="224" t="s">
        <v>31</v>
      </c>
      <c r="R11" s="224"/>
      <c r="S11" s="223"/>
      <c r="T11" s="222"/>
    </row>
    <row r="12" spans="1:20" s="248" customFormat="1" ht="54" customHeight="1" x14ac:dyDescent="0.2">
      <c r="A12" s="227" t="s">
        <v>316</v>
      </c>
      <c r="B12" s="231" t="s">
        <v>295</v>
      </c>
      <c r="C12" s="231" t="s">
        <v>315</v>
      </c>
      <c r="D12" s="230" t="s">
        <v>314</v>
      </c>
      <c r="E12" s="230" t="s">
        <v>313</v>
      </c>
      <c r="F12" s="228" t="s">
        <v>292</v>
      </c>
      <c r="G12" s="228" t="s">
        <v>312</v>
      </c>
      <c r="H12" s="227" t="s">
        <v>311</v>
      </c>
      <c r="I12" s="226">
        <v>20</v>
      </c>
      <c r="J12" s="227">
        <v>150</v>
      </c>
      <c r="K12" s="226">
        <v>3000</v>
      </c>
      <c r="L12" s="226">
        <v>270</v>
      </c>
      <c r="M12" s="226"/>
      <c r="N12" s="225">
        <v>2498</v>
      </c>
      <c r="O12" s="251"/>
      <c r="P12" s="251"/>
      <c r="Q12" s="251"/>
      <c r="R12" s="251" t="s">
        <v>31</v>
      </c>
      <c r="S12" s="250"/>
      <c r="T12" s="249"/>
    </row>
    <row r="13" spans="1:20" ht="94" customHeight="1" x14ac:dyDescent="0.2">
      <c r="A13" s="227" t="s">
        <v>310</v>
      </c>
      <c r="B13" s="231" t="s">
        <v>25</v>
      </c>
      <c r="C13" s="231" t="s">
        <v>33</v>
      </c>
      <c r="D13" s="230" t="s">
        <v>309</v>
      </c>
      <c r="E13" s="230" t="s">
        <v>308</v>
      </c>
      <c r="F13" s="228" t="s">
        <v>292</v>
      </c>
      <c r="G13" s="228" t="s">
        <v>292</v>
      </c>
      <c r="H13" s="228" t="s">
        <v>307</v>
      </c>
      <c r="I13" s="226">
        <v>250</v>
      </c>
      <c r="J13" s="227">
        <v>2</v>
      </c>
      <c r="K13" s="226">
        <v>500</v>
      </c>
      <c r="L13" s="226">
        <v>0</v>
      </c>
      <c r="M13" s="226">
        <v>0</v>
      </c>
      <c r="N13" s="247">
        <v>5500</v>
      </c>
      <c r="O13" s="16"/>
      <c r="P13" s="16"/>
      <c r="Q13" s="16" t="s">
        <v>31</v>
      </c>
      <c r="R13" s="16"/>
      <c r="S13" s="153"/>
      <c r="T13" s="13"/>
    </row>
    <row r="14" spans="1:20" s="241" customFormat="1" ht="335" x14ac:dyDescent="0.2">
      <c r="A14" s="246" t="s">
        <v>306</v>
      </c>
      <c r="B14" s="242" t="s">
        <v>25</v>
      </c>
      <c r="C14" s="242" t="s">
        <v>300</v>
      </c>
      <c r="D14" s="241" t="s">
        <v>299</v>
      </c>
      <c r="E14" s="245" t="s">
        <v>298</v>
      </c>
      <c r="F14" s="246" t="s">
        <v>292</v>
      </c>
      <c r="G14" s="246" t="s">
        <v>292</v>
      </c>
      <c r="H14" s="239" t="s">
        <v>297</v>
      </c>
      <c r="I14" s="238">
        <v>3500</v>
      </c>
      <c r="J14" s="246">
        <v>3</v>
      </c>
      <c r="K14" s="238">
        <v>10500</v>
      </c>
      <c r="L14" s="238"/>
      <c r="M14" s="238"/>
      <c r="N14" s="235">
        <v>10500</v>
      </c>
      <c r="O14" s="246"/>
      <c r="P14" s="246"/>
      <c r="Q14" s="246"/>
      <c r="R14" s="246"/>
    </row>
    <row r="15" spans="1:20" s="233" customFormat="1" ht="335" x14ac:dyDescent="0.2">
      <c r="A15" s="237" t="s">
        <v>305</v>
      </c>
      <c r="B15" s="243" t="s">
        <v>25</v>
      </c>
      <c r="C15" s="242" t="s">
        <v>300</v>
      </c>
      <c r="D15" s="241" t="s">
        <v>299</v>
      </c>
      <c r="E15" s="245" t="s">
        <v>298</v>
      </c>
      <c r="F15" s="237" t="s">
        <v>292</v>
      </c>
      <c r="G15" s="237" t="s">
        <v>292</v>
      </c>
      <c r="H15" s="239" t="s">
        <v>297</v>
      </c>
      <c r="I15" s="238">
        <v>3500</v>
      </c>
      <c r="J15" s="237">
        <v>3</v>
      </c>
      <c r="K15" s="236">
        <v>10500</v>
      </c>
      <c r="L15" s="236"/>
      <c r="M15" s="236"/>
      <c r="N15" s="235">
        <v>10500</v>
      </c>
      <c r="O15" s="234"/>
      <c r="P15" s="234"/>
      <c r="Q15" s="234"/>
      <c r="R15" s="234"/>
      <c r="S15" s="244"/>
    </row>
    <row r="16" spans="1:20" s="233" customFormat="1" ht="335" x14ac:dyDescent="0.2">
      <c r="A16" s="237" t="s">
        <v>304</v>
      </c>
      <c r="B16" s="243" t="s">
        <v>25</v>
      </c>
      <c r="C16" s="242" t="s">
        <v>300</v>
      </c>
      <c r="D16" s="241" t="s">
        <v>299</v>
      </c>
      <c r="E16" s="245" t="s">
        <v>298</v>
      </c>
      <c r="F16" s="237" t="s">
        <v>292</v>
      </c>
      <c r="G16" s="237" t="s">
        <v>292</v>
      </c>
      <c r="H16" s="239" t="s">
        <v>297</v>
      </c>
      <c r="I16" s="238">
        <v>3500</v>
      </c>
      <c r="J16" s="237">
        <v>3</v>
      </c>
      <c r="K16" s="236">
        <v>10500</v>
      </c>
      <c r="L16" s="236"/>
      <c r="M16" s="236"/>
      <c r="N16" s="235">
        <v>10500</v>
      </c>
      <c r="O16" s="234"/>
      <c r="P16" s="234"/>
      <c r="Q16" s="234"/>
      <c r="R16" s="234"/>
      <c r="S16" s="244"/>
    </row>
    <row r="17" spans="1:20" s="233" customFormat="1" ht="335" x14ac:dyDescent="0.2">
      <c r="A17" s="237" t="s">
        <v>303</v>
      </c>
      <c r="B17" s="243" t="s">
        <v>25</v>
      </c>
      <c r="C17" s="242" t="s">
        <v>300</v>
      </c>
      <c r="D17" s="241" t="s">
        <v>299</v>
      </c>
      <c r="E17" s="245" t="s">
        <v>298</v>
      </c>
      <c r="F17" s="237" t="s">
        <v>292</v>
      </c>
      <c r="G17" s="237" t="s">
        <v>292</v>
      </c>
      <c r="H17" s="239" t="s">
        <v>297</v>
      </c>
      <c r="I17" s="238">
        <v>3500</v>
      </c>
      <c r="J17" s="237">
        <v>3</v>
      </c>
      <c r="K17" s="236">
        <v>10500</v>
      </c>
      <c r="L17" s="236"/>
      <c r="M17" s="236"/>
      <c r="N17" s="235">
        <v>10500</v>
      </c>
      <c r="O17" s="234"/>
      <c r="P17" s="234"/>
      <c r="Q17" s="234"/>
      <c r="R17" s="234"/>
      <c r="S17" s="244"/>
    </row>
    <row r="18" spans="1:20" s="233" customFormat="1" ht="306" x14ac:dyDescent="0.2">
      <c r="A18" s="237" t="s">
        <v>302</v>
      </c>
      <c r="B18" s="243" t="s">
        <v>25</v>
      </c>
      <c r="C18" s="242" t="s">
        <v>300</v>
      </c>
      <c r="D18" s="241" t="s">
        <v>299</v>
      </c>
      <c r="E18" s="240" t="s">
        <v>298</v>
      </c>
      <c r="F18" s="237" t="s">
        <v>292</v>
      </c>
      <c r="G18" s="237" t="s">
        <v>292</v>
      </c>
      <c r="H18" s="239" t="s">
        <v>297</v>
      </c>
      <c r="I18" s="238">
        <v>3500</v>
      </c>
      <c r="J18" s="237">
        <v>3</v>
      </c>
      <c r="K18" s="236">
        <v>10500</v>
      </c>
      <c r="L18" s="236"/>
      <c r="M18" s="236"/>
      <c r="N18" s="235">
        <v>10500</v>
      </c>
      <c r="O18" s="234"/>
      <c r="P18" s="234"/>
      <c r="Q18" s="234"/>
      <c r="R18" s="234"/>
      <c r="S18" s="234"/>
    </row>
    <row r="19" spans="1:20" s="233" customFormat="1" ht="306" x14ac:dyDescent="0.2">
      <c r="A19" s="237" t="s">
        <v>301</v>
      </c>
      <c r="B19" s="243" t="s">
        <v>25</v>
      </c>
      <c r="C19" s="242" t="s">
        <v>300</v>
      </c>
      <c r="D19" s="241" t="s">
        <v>299</v>
      </c>
      <c r="E19" s="240" t="s">
        <v>298</v>
      </c>
      <c r="F19" s="237" t="s">
        <v>292</v>
      </c>
      <c r="G19" s="237" t="s">
        <v>292</v>
      </c>
      <c r="H19" s="239" t="s">
        <v>297</v>
      </c>
      <c r="I19" s="238">
        <v>3500</v>
      </c>
      <c r="J19" s="237">
        <v>3</v>
      </c>
      <c r="K19" s="236">
        <v>10500</v>
      </c>
      <c r="L19" s="236"/>
      <c r="M19" s="236"/>
      <c r="N19" s="235">
        <v>10500</v>
      </c>
      <c r="O19" s="234"/>
      <c r="P19" s="234"/>
      <c r="Q19" s="234"/>
      <c r="R19" s="234"/>
      <c r="S19" s="234"/>
    </row>
    <row r="20" spans="1:20" s="221" customFormat="1" ht="50" customHeight="1" x14ac:dyDescent="0.2">
      <c r="A20" s="232" t="s">
        <v>296</v>
      </c>
      <c r="B20" s="231" t="s">
        <v>295</v>
      </c>
      <c r="C20" s="231" t="s">
        <v>42</v>
      </c>
      <c r="D20" s="230" t="s">
        <v>294</v>
      </c>
      <c r="E20" s="229" t="s">
        <v>293</v>
      </c>
      <c r="F20" s="228" t="s">
        <v>292</v>
      </c>
      <c r="G20" s="228" t="s">
        <v>292</v>
      </c>
      <c r="H20" s="227"/>
      <c r="I20" s="226">
        <v>2500</v>
      </c>
      <c r="J20" s="227">
        <v>4</v>
      </c>
      <c r="K20" s="226">
        <v>10000</v>
      </c>
      <c r="L20" s="226"/>
      <c r="M20" s="226"/>
      <c r="N20" s="225">
        <v>10000</v>
      </c>
      <c r="O20" s="224"/>
      <c r="P20" s="224"/>
      <c r="Q20" s="224"/>
      <c r="R20" s="224"/>
      <c r="S20" s="223"/>
      <c r="T20" s="222"/>
    </row>
    <row r="21" spans="1:20" ht="31.75" customHeight="1" thickBot="1" x14ac:dyDescent="0.25">
      <c r="A21" s="20"/>
      <c r="B21" s="51"/>
      <c r="C21" s="51"/>
      <c r="D21" s="13"/>
      <c r="E21" s="24"/>
      <c r="F21" s="26"/>
      <c r="G21" s="26"/>
      <c r="H21" s="20"/>
      <c r="I21" s="28"/>
      <c r="J21" s="26"/>
      <c r="K21" s="28"/>
      <c r="L21" s="28"/>
      <c r="M21" s="28"/>
      <c r="N21" s="30"/>
      <c r="O21" s="16"/>
      <c r="P21" s="16"/>
      <c r="Q21" s="16"/>
      <c r="R21" s="16"/>
      <c r="S21" s="153"/>
      <c r="T21" s="13"/>
    </row>
    <row r="22" spans="1:20" ht="31.75" customHeight="1" thickBot="1" x14ac:dyDescent="0.25">
      <c r="A22" s="219" t="s">
        <v>279</v>
      </c>
      <c r="B22" s="218"/>
      <c r="C22" s="218"/>
      <c r="D22" s="218"/>
      <c r="E22" s="218"/>
      <c r="F22" s="218"/>
      <c r="G22" s="218"/>
      <c r="H22" s="218"/>
      <c r="I22" s="218"/>
      <c r="J22" s="218"/>
      <c r="K22" s="218"/>
      <c r="L22" s="218"/>
      <c r="M22" s="217"/>
      <c r="N22" s="216">
        <f>SUM(N6:N21)</f>
        <v>161136</v>
      </c>
      <c r="O22" s="215"/>
      <c r="P22" s="214"/>
      <c r="Q22" s="214"/>
      <c r="R22" s="214"/>
      <c r="S22" s="213"/>
      <c r="T22" s="212"/>
    </row>
    <row r="23" spans="1:20" ht="31.75" customHeight="1" x14ac:dyDescent="0.2">
      <c r="A23" s="220" t="s">
        <v>291</v>
      </c>
      <c r="N23" s="211" t="s">
        <v>278</v>
      </c>
      <c r="O23" s="211" t="s">
        <v>278</v>
      </c>
      <c r="P23" s="147"/>
      <c r="Q23" s="147"/>
      <c r="R23" s="147"/>
      <c r="S23" s="1"/>
      <c r="T23" s="210"/>
    </row>
    <row r="24" spans="1:20" x14ac:dyDescent="0.2">
      <c r="A24" s="1"/>
      <c r="B24" s="1"/>
      <c r="C24" s="1"/>
      <c r="D24" s="1"/>
      <c r="E24" s="1"/>
      <c r="F24" s="147"/>
      <c r="G24" s="147"/>
      <c r="H24" s="147"/>
      <c r="I24" s="1"/>
      <c r="J24" s="1"/>
      <c r="K24" s="1"/>
      <c r="L24" s="1"/>
      <c r="M24" s="1"/>
    </row>
  </sheetData>
  <mergeCells count="7">
    <mergeCell ref="A22:M22"/>
    <mergeCell ref="T4:T5"/>
    <mergeCell ref="B1:N1"/>
    <mergeCell ref="B2:R2"/>
    <mergeCell ref="B3:R3"/>
    <mergeCell ref="A4:N4"/>
    <mergeCell ref="O4:S4"/>
  </mergeCells>
  <dataValidations count="1">
    <dataValidation allowBlank="1" showInputMessage="1" showErrorMessage="1" promptTitle="Enter Justification" sqref="E6 E10:E11 E20" xr:uid="{00000000-0002-0000-0000-000000000000}"/>
  </dataValidations>
  <pageMargins left="0.7" right="0.7" top="0.75" bottom="0.75" header="0.3" footer="0.3"/>
  <pageSetup scale="2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C88A-952D-2C4F-BE99-A545E3B224D8}">
  <sheetPr>
    <pageSetUpPr fitToPage="1"/>
  </sheetPr>
  <dimension ref="A1:O44"/>
  <sheetViews>
    <sheetView zoomScale="115" zoomScaleNormal="115" workbookViewId="0">
      <selection activeCell="F45" sqref="F45"/>
    </sheetView>
  </sheetViews>
  <sheetFormatPr baseColWidth="10" defaultColWidth="8.83203125" defaultRowHeight="15" x14ac:dyDescent="0.2"/>
  <cols>
    <col min="1" max="1" width="3" style="490" customWidth="1"/>
    <col min="2" max="2" width="18.5" style="490" bestFit="1" customWidth="1"/>
    <col min="3" max="3" width="8.5" style="490" customWidth="1"/>
    <col min="4" max="4" width="16.6640625" style="490" bestFit="1" customWidth="1"/>
    <col min="5" max="5" width="13.6640625" style="490" bestFit="1" customWidth="1"/>
    <col min="6" max="6" width="14.1640625" style="490" customWidth="1"/>
    <col min="7" max="7" width="13.6640625" style="490" customWidth="1"/>
    <col min="8" max="8" width="16.1640625" style="490" bestFit="1" customWidth="1"/>
    <col min="9" max="10" width="2.5" style="490" customWidth="1"/>
    <col min="11" max="12" width="8.83203125" style="490"/>
    <col min="13" max="13" width="15.5" style="490" bestFit="1" customWidth="1"/>
    <col min="14" max="14" width="11.83203125" style="490" customWidth="1"/>
    <col min="15" max="16384" width="8.83203125" style="490"/>
  </cols>
  <sheetData>
    <row r="1" spans="1:15" x14ac:dyDescent="0.2">
      <c r="A1" s="530"/>
      <c r="B1" s="530"/>
      <c r="C1" s="531" t="s">
        <v>590</v>
      </c>
      <c r="D1" s="530"/>
      <c r="E1" s="530"/>
      <c r="F1" s="530"/>
      <c r="G1" s="530" t="s">
        <v>555</v>
      </c>
      <c r="H1" s="530"/>
      <c r="I1" s="530"/>
    </row>
    <row r="2" spans="1:15" x14ac:dyDescent="0.2">
      <c r="A2" s="530"/>
      <c r="B2" s="534" t="s">
        <v>593</v>
      </c>
      <c r="C2" s="534" t="s">
        <v>594</v>
      </c>
      <c r="D2" s="534" t="s">
        <v>595</v>
      </c>
      <c r="E2" s="534" t="s">
        <v>596</v>
      </c>
      <c r="F2" s="534" t="s">
        <v>597</v>
      </c>
      <c r="G2" s="535" t="s">
        <v>598</v>
      </c>
      <c r="H2" s="535" t="s">
        <v>575</v>
      </c>
      <c r="I2" s="530"/>
    </row>
    <row r="3" spans="1:15" x14ac:dyDescent="0.2">
      <c r="A3" s="530"/>
      <c r="B3" s="536" t="s">
        <v>599</v>
      </c>
      <c r="C3" s="536">
        <v>237094</v>
      </c>
      <c r="D3" s="537">
        <v>14310</v>
      </c>
      <c r="E3" s="538">
        <f>13000+520</f>
        <v>13520</v>
      </c>
      <c r="F3" s="539">
        <v>3736.2</v>
      </c>
      <c r="G3" s="540"/>
      <c r="H3" s="541">
        <f>D3-E3-F3-G3</f>
        <v>-2946.2</v>
      </c>
      <c r="I3" s="530"/>
    </row>
    <row r="4" spans="1:15" x14ac:dyDescent="0.2">
      <c r="A4" s="530"/>
      <c r="B4" s="536" t="s">
        <v>24</v>
      </c>
      <c r="C4" s="536">
        <v>237050</v>
      </c>
      <c r="D4" s="537">
        <v>60216</v>
      </c>
      <c r="E4" s="538"/>
      <c r="F4" s="539">
        <v>4884.32</v>
      </c>
      <c r="G4" s="540">
        <v>12244.81</v>
      </c>
      <c r="H4" s="541">
        <f t="shared" ref="H4:H20" si="0">D4-E4-F4-G4</f>
        <v>43086.87</v>
      </c>
      <c r="I4" s="530"/>
    </row>
    <row r="5" spans="1:15" x14ac:dyDescent="0.2">
      <c r="A5" s="530"/>
      <c r="B5" s="536" t="s">
        <v>600</v>
      </c>
      <c r="C5" s="536">
        <v>237051</v>
      </c>
      <c r="D5" s="537">
        <v>60216</v>
      </c>
      <c r="E5" s="538"/>
      <c r="F5" s="539">
        <v>62.09</v>
      </c>
      <c r="G5" s="540"/>
      <c r="H5" s="541">
        <f t="shared" si="0"/>
        <v>60153.91</v>
      </c>
      <c r="I5" s="530"/>
      <c r="M5" s="574" t="s">
        <v>626</v>
      </c>
      <c r="O5" s="572"/>
    </row>
    <row r="6" spans="1:15" x14ac:dyDescent="0.2">
      <c r="A6" s="530"/>
      <c r="B6" s="536" t="s">
        <v>601</v>
      </c>
      <c r="C6" s="536">
        <v>237071</v>
      </c>
      <c r="D6" s="537">
        <v>60216</v>
      </c>
      <c r="E6" s="538"/>
      <c r="F6" s="539"/>
      <c r="G6" s="540"/>
      <c r="H6" s="541">
        <f t="shared" si="0"/>
        <v>60216</v>
      </c>
      <c r="I6" s="530"/>
      <c r="M6" s="576" t="s">
        <v>627</v>
      </c>
      <c r="N6" s="577"/>
    </row>
    <row r="7" spans="1:15" x14ac:dyDescent="0.2">
      <c r="A7" s="530"/>
      <c r="B7" s="536" t="s">
        <v>602</v>
      </c>
      <c r="C7" s="536">
        <v>233002</v>
      </c>
      <c r="D7" s="537">
        <v>10140</v>
      </c>
      <c r="E7" s="538"/>
      <c r="F7" s="539"/>
      <c r="G7" s="540"/>
      <c r="H7" s="541">
        <f t="shared" si="0"/>
        <v>10140</v>
      </c>
      <c r="I7" s="530"/>
      <c r="M7" s="578" t="s">
        <v>628</v>
      </c>
      <c r="N7" s="579">
        <f>15335+11941+8970</f>
        <v>36246</v>
      </c>
    </row>
    <row r="8" spans="1:15" x14ac:dyDescent="0.2">
      <c r="A8" s="530"/>
      <c r="B8" s="536" t="s">
        <v>604</v>
      </c>
      <c r="C8" s="536">
        <v>233009</v>
      </c>
      <c r="D8" s="537">
        <v>7896</v>
      </c>
      <c r="E8" s="538">
        <v>11094.39</v>
      </c>
      <c r="F8" s="539"/>
      <c r="G8" s="540"/>
      <c r="H8" s="541">
        <f t="shared" si="0"/>
        <v>-3198.3899999999994</v>
      </c>
      <c r="I8" s="530"/>
      <c r="M8" s="490" t="s">
        <v>629</v>
      </c>
      <c r="N8" s="490">
        <v>2500</v>
      </c>
    </row>
    <row r="9" spans="1:15" x14ac:dyDescent="0.2">
      <c r="A9" s="530"/>
      <c r="B9" s="536" t="s">
        <v>606</v>
      </c>
      <c r="C9" s="536">
        <v>237059</v>
      </c>
      <c r="D9" s="537">
        <v>15600</v>
      </c>
      <c r="E9" s="538">
        <f>8223.75+328.95</f>
        <v>8552.7000000000007</v>
      </c>
      <c r="F9" s="539">
        <v>-106.67</v>
      </c>
      <c r="G9" s="540"/>
      <c r="H9" s="541">
        <f t="shared" si="0"/>
        <v>7153.9699999999993</v>
      </c>
      <c r="I9" s="530"/>
      <c r="M9" s="578" t="s">
        <v>630</v>
      </c>
      <c r="N9" s="579">
        <f>8864+6740+7700</f>
        <v>23304</v>
      </c>
    </row>
    <row r="10" spans="1:15" x14ac:dyDescent="0.2">
      <c r="A10" s="530"/>
      <c r="B10" s="536" t="s">
        <v>607</v>
      </c>
      <c r="C10" s="536">
        <v>237060</v>
      </c>
      <c r="D10" s="537">
        <v>17680</v>
      </c>
      <c r="E10" s="538">
        <f>2741.25+109.65</f>
        <v>2850.9</v>
      </c>
      <c r="F10" s="539">
        <f>-49.4</f>
        <v>-49.4</v>
      </c>
      <c r="G10" s="540"/>
      <c r="H10" s="541">
        <f t="shared" si="0"/>
        <v>14878.5</v>
      </c>
      <c r="I10" s="530"/>
      <c r="M10" s="583"/>
      <c r="N10" s="584"/>
    </row>
    <row r="11" spans="1:15" x14ac:dyDescent="0.2">
      <c r="A11" s="530"/>
      <c r="B11" s="536" t="s">
        <v>373</v>
      </c>
      <c r="C11" s="536">
        <v>237054</v>
      </c>
      <c r="D11" s="537">
        <v>49140</v>
      </c>
      <c r="E11" s="538"/>
      <c r="F11" s="539">
        <v>15202.02</v>
      </c>
      <c r="G11" s="540">
        <f>583.61+830</f>
        <v>1413.6100000000001</v>
      </c>
      <c r="H11" s="541">
        <f t="shared" si="0"/>
        <v>32524.369999999995</v>
      </c>
      <c r="I11" s="530"/>
      <c r="M11" s="578" t="s">
        <v>631</v>
      </c>
      <c r="N11" s="579">
        <f>7500+3300</f>
        <v>10800</v>
      </c>
    </row>
    <row r="12" spans="1:15" x14ac:dyDescent="0.2">
      <c r="A12" s="530"/>
      <c r="B12" s="536" t="s">
        <v>608</v>
      </c>
      <c r="C12" s="536">
        <v>237055</v>
      </c>
      <c r="D12" s="537">
        <v>33311</v>
      </c>
      <c r="E12" s="538"/>
      <c r="F12" s="539">
        <v>12387.43</v>
      </c>
      <c r="G12" s="539"/>
      <c r="H12" s="541">
        <f t="shared" si="0"/>
        <v>20923.57</v>
      </c>
      <c r="I12" s="530"/>
      <c r="M12" s="578" t="s">
        <v>632</v>
      </c>
      <c r="N12" s="579">
        <f>16479+900+6000</f>
        <v>23379</v>
      </c>
    </row>
    <row r="13" spans="1:15" x14ac:dyDescent="0.2">
      <c r="A13" s="530"/>
      <c r="B13" s="536" t="s">
        <v>442</v>
      </c>
      <c r="C13" s="536">
        <v>237056</v>
      </c>
      <c r="D13" s="537">
        <v>561346</v>
      </c>
      <c r="E13" s="538"/>
      <c r="F13" s="539">
        <v>225113</v>
      </c>
      <c r="G13" s="540">
        <v>70000</v>
      </c>
      <c r="H13" s="541">
        <f t="shared" si="0"/>
        <v>266233</v>
      </c>
      <c r="I13" s="530"/>
      <c r="M13" s="572"/>
      <c r="N13" s="572"/>
    </row>
    <row r="14" spans="1:15" x14ac:dyDescent="0.2">
      <c r="A14" s="530"/>
      <c r="B14" s="536" t="s">
        <v>611</v>
      </c>
      <c r="C14" s="536">
        <v>237044</v>
      </c>
      <c r="D14" s="537">
        <v>20800</v>
      </c>
      <c r="E14" s="538"/>
      <c r="F14" s="539"/>
      <c r="G14" s="540"/>
      <c r="H14" s="541">
        <f t="shared" si="0"/>
        <v>20800</v>
      </c>
      <c r="I14" s="530"/>
    </row>
    <row r="15" spans="1:15" x14ac:dyDescent="0.2">
      <c r="A15" s="530"/>
      <c r="B15" s="536" t="s">
        <v>613</v>
      </c>
      <c r="C15" s="536">
        <v>237095</v>
      </c>
      <c r="D15" s="537">
        <v>20800</v>
      </c>
      <c r="E15" s="538"/>
      <c r="F15" s="539">
        <v>102.14</v>
      </c>
      <c r="G15" s="540"/>
      <c r="H15" s="541">
        <f t="shared" si="0"/>
        <v>20697.86</v>
      </c>
      <c r="I15" s="530"/>
    </row>
    <row r="16" spans="1:15" x14ac:dyDescent="0.2">
      <c r="A16" s="530"/>
      <c r="B16" s="536" t="s">
        <v>609</v>
      </c>
      <c r="C16" s="536">
        <v>237046</v>
      </c>
      <c r="D16" s="537">
        <v>29822</v>
      </c>
      <c r="E16" s="538"/>
      <c r="F16" s="539">
        <v>1542.4</v>
      </c>
      <c r="G16" s="540"/>
      <c r="H16" s="541">
        <f t="shared" si="0"/>
        <v>28279.599999999999</v>
      </c>
      <c r="I16" s="530"/>
    </row>
    <row r="17" spans="1:13" x14ac:dyDescent="0.2">
      <c r="A17" s="530"/>
      <c r="B17" s="536" t="s">
        <v>610</v>
      </c>
      <c r="C17" s="536">
        <v>237052</v>
      </c>
      <c r="D17" s="537">
        <v>26000</v>
      </c>
      <c r="E17" s="538"/>
      <c r="F17" s="539"/>
      <c r="G17" s="540"/>
      <c r="H17" s="541">
        <f t="shared" si="0"/>
        <v>26000</v>
      </c>
      <c r="I17" s="530"/>
    </row>
    <row r="18" spans="1:13" x14ac:dyDescent="0.2">
      <c r="A18" s="530"/>
      <c r="B18" s="536" t="s">
        <v>612</v>
      </c>
      <c r="C18" s="536">
        <v>237053</v>
      </c>
      <c r="D18" s="537">
        <v>20800</v>
      </c>
      <c r="E18" s="538">
        <f>1500+60</f>
        <v>1560</v>
      </c>
      <c r="F18" s="539">
        <v>1050</v>
      </c>
      <c r="G18" s="540"/>
      <c r="H18" s="541">
        <f t="shared" si="0"/>
        <v>18190</v>
      </c>
      <c r="I18" s="530"/>
    </row>
    <row r="19" spans="1:13" x14ac:dyDescent="0.2">
      <c r="A19" s="530"/>
      <c r="B19" s="536" t="s">
        <v>614</v>
      </c>
      <c r="C19" s="536">
        <v>237078</v>
      </c>
      <c r="D19" s="537">
        <v>23530</v>
      </c>
      <c r="E19" s="538"/>
      <c r="F19" s="539"/>
      <c r="G19" s="540"/>
      <c r="H19" s="541">
        <f t="shared" si="0"/>
        <v>23530</v>
      </c>
      <c r="I19" s="530"/>
    </row>
    <row r="20" spans="1:13" x14ac:dyDescent="0.2">
      <c r="A20" s="530"/>
      <c r="B20" s="536" t="s">
        <v>240</v>
      </c>
      <c r="C20" s="536">
        <v>237096</v>
      </c>
      <c r="D20" s="537">
        <v>384110</v>
      </c>
      <c r="E20" s="538"/>
      <c r="F20" s="539">
        <v>170366.94</v>
      </c>
      <c r="G20" s="540"/>
      <c r="H20" s="541">
        <f t="shared" si="0"/>
        <v>213743.06</v>
      </c>
      <c r="I20" s="530"/>
    </row>
    <row r="21" spans="1:13" ht="16" thickBot="1" x14ac:dyDescent="0.25">
      <c r="A21" s="530"/>
      <c r="B21" s="552" t="s">
        <v>277</v>
      </c>
      <c r="C21" s="553"/>
      <c r="D21" s="554">
        <f>SUM(D3:D20)</f>
        <v>1415933</v>
      </c>
      <c r="E21" s="554">
        <f>SUM(E3:E20)</f>
        <v>37577.99</v>
      </c>
      <c r="F21" s="554">
        <f>SUM(F3:F20)</f>
        <v>434290.47000000003</v>
      </c>
      <c r="G21" s="554">
        <f>SUM(G3:G20)</f>
        <v>83658.42</v>
      </c>
      <c r="H21" s="555">
        <f>D21-(E21+F21+G21)</f>
        <v>860406.12</v>
      </c>
      <c r="I21" s="530"/>
    </row>
    <row r="22" spans="1:13" ht="16" thickTop="1" x14ac:dyDescent="0.2">
      <c r="A22" s="530"/>
      <c r="B22" s="556"/>
      <c r="C22" s="557"/>
      <c r="D22" s="558"/>
      <c r="E22" s="558"/>
      <c r="F22" s="558"/>
      <c r="G22" s="558"/>
      <c r="H22" s="559"/>
      <c r="I22" s="530"/>
    </row>
    <row r="23" spans="1:13" x14ac:dyDescent="0.2">
      <c r="A23" s="530"/>
      <c r="B23" s="557"/>
      <c r="C23" s="557" t="s">
        <v>619</v>
      </c>
      <c r="D23" s="559"/>
      <c r="E23" s="559">
        <f>E21+F21</f>
        <v>471868.46</v>
      </c>
      <c r="F23" s="559"/>
      <c r="G23" s="557"/>
      <c r="H23" s="556"/>
      <c r="I23" s="530"/>
    </row>
    <row r="24" spans="1:13" x14ac:dyDescent="0.2">
      <c r="A24" s="530"/>
      <c r="B24" s="557"/>
      <c r="C24" s="557" t="s">
        <v>620</v>
      </c>
      <c r="D24" s="559"/>
      <c r="E24" s="559">
        <f>D21-E23</f>
        <v>944064.54</v>
      </c>
      <c r="F24" s="559"/>
      <c r="G24" s="557"/>
      <c r="H24" s="556"/>
      <c r="I24" s="530"/>
    </row>
    <row r="25" spans="1:13" x14ac:dyDescent="0.2">
      <c r="A25" s="530"/>
      <c r="B25" s="557"/>
      <c r="C25" s="557" t="s">
        <v>621</v>
      </c>
      <c r="D25" s="559"/>
      <c r="E25" s="559">
        <f>(N7+N8+N9)*5</f>
        <v>310250</v>
      </c>
      <c r="F25" s="559"/>
      <c r="G25" s="557"/>
      <c r="H25" s="556"/>
      <c r="I25" s="530"/>
    </row>
    <row r="26" spans="1:13" x14ac:dyDescent="0.2">
      <c r="A26" s="530"/>
      <c r="B26" s="557"/>
      <c r="C26" s="557" t="s">
        <v>622</v>
      </c>
      <c r="D26" s="559"/>
      <c r="E26" s="559">
        <f>D21-E23-E25-G21</f>
        <v>550156.12</v>
      </c>
      <c r="F26" s="559"/>
      <c r="G26" s="557"/>
      <c r="H26" s="556"/>
      <c r="I26" s="530"/>
      <c r="M26" s="582"/>
    </row>
    <row r="27" spans="1:13" x14ac:dyDescent="0.2">
      <c r="A27" s="530"/>
      <c r="B27" s="557"/>
      <c r="C27" s="557"/>
      <c r="D27" s="559"/>
      <c r="E27" s="559"/>
      <c r="F27" s="559"/>
      <c r="G27" s="557"/>
      <c r="H27" s="556"/>
      <c r="I27" s="530"/>
    </row>
    <row r="28" spans="1:13" x14ac:dyDescent="0.2">
      <c r="A28" s="530"/>
      <c r="B28" s="530"/>
      <c r="C28" s="531" t="s">
        <v>623</v>
      </c>
      <c r="D28" s="530"/>
      <c r="E28" s="530"/>
      <c r="F28" s="530"/>
      <c r="G28" s="530" t="s">
        <v>555</v>
      </c>
      <c r="H28" s="530"/>
      <c r="I28" s="530"/>
    </row>
    <row r="29" spans="1:13" x14ac:dyDescent="0.2">
      <c r="A29" s="530"/>
      <c r="B29" s="534" t="s">
        <v>593</v>
      </c>
      <c r="C29" s="534" t="s">
        <v>594</v>
      </c>
      <c r="D29" s="534" t="s">
        <v>595</v>
      </c>
      <c r="E29" s="534" t="s">
        <v>596</v>
      </c>
      <c r="F29" s="534" t="s">
        <v>597</v>
      </c>
      <c r="G29" s="535" t="s">
        <v>598</v>
      </c>
      <c r="H29" s="535" t="s">
        <v>575</v>
      </c>
      <c r="I29" s="530"/>
    </row>
    <row r="30" spans="1:13" x14ac:dyDescent="0.2">
      <c r="A30" s="530"/>
      <c r="B30" s="563" t="s">
        <v>24</v>
      </c>
      <c r="C30" s="563">
        <v>237050</v>
      </c>
      <c r="D30" s="564">
        <v>20093</v>
      </c>
      <c r="E30" s="565"/>
      <c r="F30" s="566"/>
      <c r="G30" s="566"/>
      <c r="H30" s="541">
        <f>D30-E30-G30</f>
        <v>20093</v>
      </c>
      <c r="I30" s="530"/>
    </row>
    <row r="31" spans="1:13" x14ac:dyDescent="0.2">
      <c r="A31" s="530"/>
      <c r="B31" s="536" t="s">
        <v>600</v>
      </c>
      <c r="C31" s="536">
        <v>237051</v>
      </c>
      <c r="D31" s="567">
        <v>20092</v>
      </c>
      <c r="E31" s="538"/>
      <c r="F31" s="540"/>
      <c r="G31" s="540"/>
      <c r="H31" s="541">
        <f>D31-E31-G31</f>
        <v>20092</v>
      </c>
      <c r="I31" s="530"/>
    </row>
    <row r="32" spans="1:13" x14ac:dyDescent="0.2">
      <c r="A32" s="530"/>
      <c r="B32" s="536" t="s">
        <v>624</v>
      </c>
      <c r="C32" s="536">
        <v>237097</v>
      </c>
      <c r="D32" s="567">
        <v>281520</v>
      </c>
      <c r="E32" s="538"/>
      <c r="F32" s="540">
        <v>147319.6</v>
      </c>
      <c r="G32" s="540"/>
      <c r="H32" s="541">
        <f t="shared" ref="H32:H33" si="1">D32-E32-G32</f>
        <v>281520</v>
      </c>
      <c r="I32" s="530"/>
    </row>
    <row r="33" spans="1:11" x14ac:dyDescent="0.2">
      <c r="A33" s="530"/>
      <c r="B33" s="536" t="s">
        <v>625</v>
      </c>
      <c r="C33" s="536">
        <v>237098</v>
      </c>
      <c r="D33" s="567">
        <v>448720</v>
      </c>
      <c r="E33" s="538"/>
      <c r="F33" s="540">
        <f>177903.69+19204.69</f>
        <v>197108.38</v>
      </c>
      <c r="G33" s="540"/>
      <c r="H33" s="541">
        <f t="shared" si="1"/>
        <v>448720</v>
      </c>
      <c r="I33" s="530"/>
    </row>
    <row r="34" spans="1:11" ht="16" thickBot="1" x14ac:dyDescent="0.25">
      <c r="A34" s="530"/>
      <c r="B34" s="552" t="s">
        <v>277</v>
      </c>
      <c r="C34" s="553"/>
      <c r="D34" s="568">
        <f>SUM(D30:D33)</f>
        <v>770425</v>
      </c>
      <c r="E34" s="554">
        <f>SUM(E31:E33)</f>
        <v>0</v>
      </c>
      <c r="F34" s="554">
        <f>SUM(F31:F33)</f>
        <v>344427.98</v>
      </c>
      <c r="G34" s="554">
        <f>SUM(G31:G33)</f>
        <v>0</v>
      </c>
      <c r="H34" s="554">
        <f>D34-(E34+G34)</f>
        <v>770425</v>
      </c>
      <c r="I34" s="530"/>
    </row>
    <row r="35" spans="1:11" ht="16" thickTop="1" x14ac:dyDescent="0.2">
      <c r="A35" s="530"/>
      <c r="B35" s="556"/>
      <c r="C35" s="557"/>
      <c r="D35" s="569"/>
      <c r="E35" s="558"/>
      <c r="F35" s="558"/>
      <c r="G35" s="558"/>
      <c r="H35" s="558"/>
      <c r="I35" s="530"/>
    </row>
    <row r="36" spans="1:11" x14ac:dyDescent="0.2">
      <c r="A36" s="530"/>
      <c r="B36" s="557"/>
      <c r="C36" s="557" t="s">
        <v>619</v>
      </c>
      <c r="D36" s="559"/>
      <c r="E36" s="559">
        <f>F34</f>
        <v>344427.98</v>
      </c>
      <c r="F36" s="559"/>
      <c r="G36" s="557"/>
      <c r="H36" s="556"/>
      <c r="I36" s="530"/>
    </row>
    <row r="37" spans="1:11" x14ac:dyDescent="0.2">
      <c r="A37" s="530"/>
      <c r="B37" s="557"/>
      <c r="C37" s="557" t="s">
        <v>620</v>
      </c>
      <c r="D37" s="559"/>
      <c r="E37" s="570">
        <f>D34-E36</f>
        <v>425997.02</v>
      </c>
      <c r="F37" s="559"/>
      <c r="G37" s="557"/>
      <c r="H37" s="556"/>
      <c r="I37" s="530"/>
    </row>
    <row r="38" spans="1:11" x14ac:dyDescent="0.2">
      <c r="A38" s="530"/>
      <c r="B38" s="557"/>
      <c r="C38" s="557" t="s">
        <v>621</v>
      </c>
      <c r="D38" s="559"/>
      <c r="E38" s="559">
        <f>(N11+N12)*5</f>
        <v>170895</v>
      </c>
      <c r="F38" s="559"/>
      <c r="G38" s="557"/>
      <c r="H38" s="556"/>
      <c r="I38" s="530"/>
    </row>
    <row r="39" spans="1:11" x14ac:dyDescent="0.2">
      <c r="A39" s="530"/>
      <c r="B39" s="557"/>
      <c r="C39" s="557" t="s">
        <v>622</v>
      </c>
      <c r="D39" s="559"/>
      <c r="E39" s="570">
        <f>D34-E36-E38-G34</f>
        <v>255102.02000000002</v>
      </c>
      <c r="F39" s="559"/>
      <c r="G39" s="557"/>
      <c r="H39" s="556"/>
      <c r="I39" s="530"/>
    </row>
    <row r="40" spans="1:11" x14ac:dyDescent="0.2">
      <c r="A40" s="530"/>
      <c r="B40" s="557"/>
      <c r="C40" s="557"/>
      <c r="D40" s="559"/>
      <c r="E40" s="559"/>
      <c r="F40" s="559"/>
      <c r="G40" s="557"/>
      <c r="H40" s="556"/>
      <c r="I40" s="530"/>
    </row>
    <row r="41" spans="1:11" x14ac:dyDescent="0.2">
      <c r="A41" s="530"/>
      <c r="B41" s="530"/>
      <c r="C41" s="530"/>
      <c r="D41" s="530"/>
      <c r="E41" s="530"/>
      <c r="F41" s="530"/>
      <c r="G41" s="530"/>
      <c r="H41" s="530"/>
      <c r="I41" s="530"/>
    </row>
    <row r="42" spans="1:11" x14ac:dyDescent="0.2">
      <c r="B42" s="572"/>
      <c r="C42" s="572"/>
      <c r="D42" s="571"/>
      <c r="E42" s="571"/>
      <c r="F42" s="571"/>
      <c r="G42" s="572"/>
      <c r="H42" s="573"/>
      <c r="I42" s="573"/>
      <c r="J42" s="573"/>
      <c r="K42" s="573"/>
    </row>
    <row r="43" spans="1:11" x14ac:dyDescent="0.2">
      <c r="B43" s="572"/>
      <c r="C43" s="572"/>
      <c r="D43" s="571"/>
      <c r="E43" s="571"/>
      <c r="F43" s="571"/>
      <c r="G43" s="572"/>
      <c r="H43" s="573"/>
      <c r="I43" s="573"/>
      <c r="J43" s="573"/>
      <c r="K43" s="573"/>
    </row>
    <row r="44" spans="1:11" x14ac:dyDescent="0.2">
      <c r="H44" s="575"/>
    </row>
  </sheetData>
  <pageMargins left="0.7" right="0.7" top="0.75" bottom="0.75" header="0.3" footer="0.3"/>
  <pageSetup scale="48"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Grants Balance</vt:lpstr>
      <vt:lpstr>SWP Total Allocated 2 9 2023</vt:lpstr>
      <vt:lpstr>BCAT</vt:lpstr>
      <vt:lpstr>BHES</vt:lpstr>
      <vt:lpstr>CTE</vt:lpstr>
      <vt:lpstr>LA</vt:lpstr>
      <vt:lpstr>IIS</vt:lpstr>
      <vt:lpstr>SSH</vt:lpstr>
      <vt:lpstr>SWP 6 Balance</vt:lpstr>
      <vt:lpstr>Perkins 22_23 Balane</vt:lpstr>
      <vt:lpstr>SWP 7 Regional Budget</vt:lpstr>
      <vt:lpstr>SWP 7 Local Budget</vt:lpstr>
      <vt:lpstr>'SWP 7 Local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dc:creator>
  <cp:keywords/>
  <dc:description/>
  <cp:lastModifiedBy>Microsoft Office User</cp:lastModifiedBy>
  <cp:revision/>
  <dcterms:created xsi:type="dcterms:W3CDTF">2023-01-13T21:28:13Z</dcterms:created>
  <dcterms:modified xsi:type="dcterms:W3CDTF">2023-02-09T23:22:45Z</dcterms:modified>
  <cp:category/>
  <cp:contentStatus/>
</cp:coreProperties>
</file>