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7"/>
  <workbookPr defaultThemeVersion="124226"/>
  <mc:AlternateContent xmlns:mc="http://schemas.openxmlformats.org/markup-compatibility/2006">
    <mc:Choice Requires="x15">
      <x15ac:absPath xmlns:x15ac="http://schemas.microsoft.com/office/spreadsheetml/2010/11/ac" url="/Users/vinschacko/Desktop/Resource Allocation 22 23/"/>
    </mc:Choice>
  </mc:AlternateContent>
  <xr:revisionPtr revIDLastSave="0" documentId="8_{7D904D10-56F1-493C-B27C-E8C6D7B156CD}" xr6:coauthVersionLast="47" xr6:coauthVersionMax="47" xr10:uidLastSave="{00000000-0000-0000-0000-000000000000}"/>
  <bookViews>
    <workbookView xWindow="1260" yWindow="2880" windowWidth="31980" windowHeight="21740" firstSheet="1" activeTab="1" xr2:uid="{00000000-000D-0000-FFFF-FFFF00000000}"/>
  </bookViews>
  <sheets>
    <sheet name="SWP &amp; Pekins Budget Allocated" sheetId="15" r:id="rId1"/>
    <sheet name="BCAT" sheetId="1" r:id="rId2"/>
    <sheet name="BHES" sheetId="9" r:id="rId3"/>
    <sheet name="CA" sheetId="16" r:id="rId4"/>
    <sheet name="CTE" sheetId="5" r:id="rId5"/>
    <sheet name="LA" sheetId="6" r:id="rId6"/>
    <sheet name="IIS" sheetId="8" r:id="rId7"/>
    <sheet name="SSH" sheetId="7" r:id="rId8"/>
    <sheet name="Grants Balance" sheetId="10" r:id="rId9"/>
    <sheet name="SWP 6 Balance" sheetId="11" r:id="rId10"/>
    <sheet name="Perkins 22_23 Balane" sheetId="12" r:id="rId11"/>
    <sheet name="SWP 7 Regional Budget" sheetId="13" r:id="rId12"/>
    <sheet name="SWP 7 Local Budget" sheetId="14" r:id="rId13"/>
  </sheets>
  <definedNames>
    <definedName name="_xlnm.Print_Area" localSheetId="12">'SWP 7 Local Budget'!$A$1:$N$36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 l="1"/>
  <c r="N93" i="1"/>
  <c r="N92" i="1"/>
  <c r="N91" i="1"/>
  <c r="N90" i="1"/>
  <c r="N89" i="1"/>
  <c r="N88" i="1"/>
  <c r="N87" i="1"/>
  <c r="N86" i="1"/>
  <c r="K94" i="1"/>
  <c r="K93" i="1"/>
  <c r="K92" i="1"/>
  <c r="K91" i="1"/>
  <c r="K90" i="1"/>
  <c r="K89" i="1"/>
  <c r="K88" i="1"/>
  <c r="K87" i="1"/>
  <c r="K86" i="1"/>
  <c r="K84" i="1"/>
  <c r="O7" i="7"/>
  <c r="R7" i="6"/>
  <c r="R8" i="6"/>
  <c r="R9" i="6"/>
  <c r="R10" i="6"/>
  <c r="R6" i="6"/>
  <c r="K20" i="7"/>
  <c r="N20" i="7" s="1"/>
  <c r="K19" i="7"/>
  <c r="N19" i="7" s="1"/>
  <c r="K14" i="7"/>
  <c r="N14" i="7" s="1"/>
  <c r="K13" i="7"/>
  <c r="N13" i="7" s="1"/>
  <c r="K10" i="7"/>
  <c r="N10" i="7" s="1"/>
  <c r="K9" i="7"/>
  <c r="N9" i="7" l="1"/>
  <c r="K6" i="16"/>
  <c r="L6" i="16"/>
  <c r="N6" i="16"/>
  <c r="K7" i="16"/>
  <c r="L7" i="16" s="1"/>
  <c r="K8" i="16"/>
  <c r="L8" i="16"/>
  <c r="N9" i="16"/>
  <c r="N10" i="16"/>
  <c r="K11" i="16"/>
  <c r="L11" i="16" s="1"/>
  <c r="K12" i="16"/>
  <c r="L12" i="16"/>
  <c r="K13" i="16"/>
  <c r="L13" i="16"/>
  <c r="N13" i="16"/>
  <c r="K14" i="16"/>
  <c r="K15" i="16"/>
  <c r="K16" i="16"/>
  <c r="N17" i="16"/>
  <c r="N12" i="16" l="1"/>
  <c r="N8" i="16"/>
  <c r="N11" i="16"/>
  <c r="N7" i="16"/>
  <c r="N18" i="16" s="1"/>
  <c r="E31" i="14"/>
  <c r="E32" i="14" s="1"/>
  <c r="E13" i="15" s="1"/>
  <c r="M30" i="14"/>
  <c r="M29" i="14"/>
  <c r="M28" i="14"/>
  <c r="K27" i="14"/>
  <c r="J27" i="14"/>
  <c r="J32" i="14" s="1"/>
  <c r="E20" i="15" s="1"/>
  <c r="F20" i="15" s="1"/>
  <c r="D38" i="15" s="1"/>
  <c r="I27" i="14"/>
  <c r="I32" i="14" s="1"/>
  <c r="E10" i="15" s="1"/>
  <c r="H27" i="14"/>
  <c r="G27" i="14"/>
  <c r="G31" i="14" s="1"/>
  <c r="F27" i="14"/>
  <c r="F31" i="14" s="1"/>
  <c r="F32" i="14" s="1"/>
  <c r="E7" i="15" s="1"/>
  <c r="D27" i="14"/>
  <c r="M26" i="14"/>
  <c r="M25" i="14"/>
  <c r="M14" i="14"/>
  <c r="M15" i="14" s="1"/>
  <c r="E18" i="15" s="1"/>
  <c r="L14" i="14"/>
  <c r="L15" i="14" s="1"/>
  <c r="E17" i="15" s="1"/>
  <c r="N10" i="14"/>
  <c r="N14" i="14" s="1"/>
  <c r="K10" i="14"/>
  <c r="J10" i="14"/>
  <c r="J14" i="14" s="1"/>
  <c r="I10" i="14"/>
  <c r="H10" i="14"/>
  <c r="H14" i="14" s="1"/>
  <c r="G10" i="14"/>
  <c r="F10" i="14"/>
  <c r="F14" i="14" s="1"/>
  <c r="E10" i="14"/>
  <c r="D10" i="14"/>
  <c r="D14" i="14" s="1"/>
  <c r="F15" i="13"/>
  <c r="F17" i="13" s="1"/>
  <c r="E15" i="13"/>
  <c r="E17" i="13" s="1"/>
  <c r="D15" i="13"/>
  <c r="D17" i="13" s="1"/>
  <c r="J13" i="13"/>
  <c r="J12" i="13"/>
  <c r="J11" i="13"/>
  <c r="I10" i="13"/>
  <c r="I15" i="13" s="1"/>
  <c r="H10" i="13"/>
  <c r="H15" i="13" s="1"/>
  <c r="G10" i="13"/>
  <c r="J10" i="13" s="1"/>
  <c r="J9" i="13"/>
  <c r="J8" i="13"/>
  <c r="H17" i="13" l="1"/>
  <c r="E27" i="15"/>
  <c r="I17" i="13"/>
  <c r="E28" i="15"/>
  <c r="G14" i="14"/>
  <c r="G15" i="14" s="1"/>
  <c r="E19" i="15" s="1"/>
  <c r="K14" i="14"/>
  <c r="K15" i="14" s="1"/>
  <c r="E5" i="15" s="1"/>
  <c r="D31" i="14"/>
  <c r="D32" i="14" s="1"/>
  <c r="E12" i="15" s="1"/>
  <c r="K31" i="14"/>
  <c r="K32" i="14" s="1"/>
  <c r="E21" i="15" s="1"/>
  <c r="E29" i="15"/>
  <c r="E14" i="14"/>
  <c r="I14" i="14"/>
  <c r="I15" i="14" s="1"/>
  <c r="E4" i="15" s="1"/>
  <c r="F15" i="14"/>
  <c r="E16" i="15" s="1"/>
  <c r="J15" i="14"/>
  <c r="E6" i="15" s="1"/>
  <c r="N15" i="14"/>
  <c r="E11" i="15" s="1"/>
  <c r="G32" i="14"/>
  <c r="E8" i="15" s="1"/>
  <c r="D15" i="14"/>
  <c r="E15" i="15" s="1"/>
  <c r="H15" i="14"/>
  <c r="E3" i="15" s="1"/>
  <c r="M27" i="14"/>
  <c r="H31" i="14"/>
  <c r="H32" i="14" s="1"/>
  <c r="E9" i="15" s="1"/>
  <c r="G15" i="13"/>
  <c r="G17" i="13" s="1"/>
  <c r="M31" i="14" l="1"/>
  <c r="E15" i="14"/>
  <c r="E14" i="15" s="1"/>
  <c r="E22" i="15" s="1"/>
  <c r="M32" i="14"/>
  <c r="J15" i="13"/>
  <c r="M7" i="12" l="1"/>
  <c r="E28" i="12"/>
  <c r="E22" i="12"/>
  <c r="D22" i="12"/>
  <c r="G21" i="12"/>
  <c r="G20" i="12"/>
  <c r="E36" i="15" s="1"/>
  <c r="G19" i="12"/>
  <c r="E37" i="15" s="1"/>
  <c r="G18" i="12"/>
  <c r="G17" i="12"/>
  <c r="G16" i="12"/>
  <c r="E39" i="15" s="1"/>
  <c r="G15" i="12"/>
  <c r="G14" i="12"/>
  <c r="G13" i="12"/>
  <c r="G12" i="12"/>
  <c r="E35" i="15" s="1"/>
  <c r="G11" i="12"/>
  <c r="G10" i="12"/>
  <c r="G9" i="12"/>
  <c r="G8" i="12"/>
  <c r="E34" i="15" s="1"/>
  <c r="G7" i="12"/>
  <c r="G6" i="12"/>
  <c r="G5" i="12"/>
  <c r="F4" i="12"/>
  <c r="F22" i="12" s="1"/>
  <c r="G3" i="12"/>
  <c r="F33" i="11"/>
  <c r="N12" i="11"/>
  <c r="N11" i="11"/>
  <c r="E38" i="11" s="1"/>
  <c r="N9" i="11"/>
  <c r="N7" i="11"/>
  <c r="G34" i="11"/>
  <c r="F34" i="11"/>
  <c r="E36" i="11" s="1"/>
  <c r="E34" i="11"/>
  <c r="E17" i="10" s="1"/>
  <c r="D34" i="11"/>
  <c r="H33" i="11"/>
  <c r="D28" i="15" s="1"/>
  <c r="F28" i="15" s="1"/>
  <c r="H32" i="11"/>
  <c r="D27" i="15" s="1"/>
  <c r="F27" i="15" s="1"/>
  <c r="H31" i="11"/>
  <c r="D26" i="15" s="1"/>
  <c r="H30" i="11"/>
  <c r="D25" i="15" s="1"/>
  <c r="F25" i="15" s="1"/>
  <c r="D21" i="11"/>
  <c r="H20" i="11"/>
  <c r="D21" i="15" s="1"/>
  <c r="F21" i="15" s="1"/>
  <c r="D36" i="15" s="1"/>
  <c r="H19" i="11"/>
  <c r="D19" i="15" s="1"/>
  <c r="F19" i="15" s="1"/>
  <c r="E18" i="11"/>
  <c r="H18" i="11" s="1"/>
  <c r="D18" i="15" s="1"/>
  <c r="F18" i="15" s="1"/>
  <c r="H17" i="11"/>
  <c r="D17" i="15" s="1"/>
  <c r="F17" i="15" s="1"/>
  <c r="H16" i="11"/>
  <c r="D16" i="15" s="1"/>
  <c r="F16" i="15" s="1"/>
  <c r="H15" i="11"/>
  <c r="D15" i="15" s="1"/>
  <c r="F15" i="15" s="1"/>
  <c r="H14" i="11"/>
  <c r="D14" i="15" s="1"/>
  <c r="F14" i="15" s="1"/>
  <c r="H13" i="11"/>
  <c r="D13" i="15" s="1"/>
  <c r="H12" i="11"/>
  <c r="D12" i="15" s="1"/>
  <c r="F12" i="15" s="1"/>
  <c r="G11" i="11"/>
  <c r="G21" i="11" s="1"/>
  <c r="F10" i="11"/>
  <c r="F21" i="11" s="1"/>
  <c r="E10" i="11"/>
  <c r="E9" i="11"/>
  <c r="H9" i="11" s="1"/>
  <c r="D9" i="15" s="1"/>
  <c r="F9" i="15" s="1"/>
  <c r="H8" i="11"/>
  <c r="D8" i="15" s="1"/>
  <c r="F8" i="15" s="1"/>
  <c r="H7" i="11"/>
  <c r="D7" i="15" s="1"/>
  <c r="F7" i="15" s="1"/>
  <c r="H6" i="11"/>
  <c r="D6" i="15" s="1"/>
  <c r="F6" i="15" s="1"/>
  <c r="H5" i="11"/>
  <c r="D5" i="15" s="1"/>
  <c r="F5" i="15" s="1"/>
  <c r="H4" i="11"/>
  <c r="D4" i="15" s="1"/>
  <c r="F4" i="15" s="1"/>
  <c r="E3" i="11"/>
  <c r="G13" i="10"/>
  <c r="G14" i="10"/>
  <c r="G17" i="10"/>
  <c r="G19" i="10"/>
  <c r="G20" i="10"/>
  <c r="E12" i="10"/>
  <c r="D11" i="10"/>
  <c r="G11" i="10" s="1"/>
  <c r="D12" i="10"/>
  <c r="D35" i="15" l="1"/>
  <c r="F26" i="15"/>
  <c r="D29" i="15"/>
  <c r="F29" i="15"/>
  <c r="E26" i="12"/>
  <c r="E15" i="10"/>
  <c r="G15" i="10" s="1"/>
  <c r="F13" i="15"/>
  <c r="G4" i="12"/>
  <c r="E33" i="15" s="1"/>
  <c r="E29" i="12"/>
  <c r="E27" i="12"/>
  <c r="G22" i="12"/>
  <c r="E21" i="11"/>
  <c r="E16" i="10" s="1"/>
  <c r="G16" i="10" s="1"/>
  <c r="H10" i="11"/>
  <c r="D10" i="15" s="1"/>
  <c r="F10" i="15" s="1"/>
  <c r="D39" i="15" s="1"/>
  <c r="E23" i="11"/>
  <c r="E24" i="11" s="1"/>
  <c r="H3" i="11"/>
  <c r="D3" i="15" s="1"/>
  <c r="E25" i="11"/>
  <c r="H34" i="11"/>
  <c r="E39" i="11"/>
  <c r="H21" i="11"/>
  <c r="E37" i="11"/>
  <c r="H11" i="11"/>
  <c r="D11" i="15" s="1"/>
  <c r="F11" i="15" s="1"/>
  <c r="G12" i="10"/>
  <c r="F3" i="15" l="1"/>
  <c r="D33" i="15" s="1"/>
  <c r="D22" i="15"/>
  <c r="D34" i="15"/>
  <c r="F22" i="15"/>
  <c r="E26" i="11"/>
  <c r="K6" i="9" l="1"/>
  <c r="L6" i="9" s="1"/>
  <c r="N6" i="9" s="1"/>
  <c r="K7" i="9"/>
  <c r="L7" i="9" s="1"/>
  <c r="K8" i="9"/>
  <c r="L8" i="9" s="1"/>
  <c r="K9" i="9"/>
  <c r="L9" i="9" s="1"/>
  <c r="K10" i="9"/>
  <c r="L10" i="9" s="1"/>
  <c r="K11" i="9"/>
  <c r="L11" i="9" s="1"/>
  <c r="K12" i="9"/>
  <c r="L12" i="9" s="1"/>
  <c r="K13" i="9"/>
  <c r="L13" i="9" s="1"/>
  <c r="K14" i="9"/>
  <c r="K15" i="9"/>
  <c r="L15" i="9" s="1"/>
  <c r="K16" i="9"/>
  <c r="L16" i="9" s="1"/>
  <c r="K17" i="9"/>
  <c r="L17" i="9" s="1"/>
  <c r="K18" i="9"/>
  <c r="L18" i="9" s="1"/>
  <c r="K20" i="9"/>
  <c r="L20" i="9" s="1"/>
  <c r="K21" i="9"/>
  <c r="K22" i="9"/>
  <c r="L22" i="9" s="1"/>
  <c r="K23" i="9"/>
  <c r="L23" i="9" s="1"/>
  <c r="K24" i="9"/>
  <c r="L24" i="9" s="1"/>
  <c r="K26" i="9"/>
  <c r="L26" i="9" s="1"/>
  <c r="L28" i="9"/>
  <c r="M28" i="9"/>
  <c r="L29" i="9"/>
  <c r="N29" i="9" s="1"/>
  <c r="L30" i="9"/>
  <c r="M30" i="9"/>
  <c r="L31" i="9"/>
  <c r="M31" i="9"/>
  <c r="L32" i="9"/>
  <c r="M32" i="9"/>
  <c r="N49" i="9"/>
  <c r="K51" i="9"/>
  <c r="L51" i="9" s="1"/>
  <c r="K52" i="9"/>
  <c r="L52" i="9" s="1"/>
  <c r="N52" i="9" s="1"/>
  <c r="K53" i="9"/>
  <c r="L53" i="9" s="1"/>
  <c r="K54" i="9"/>
  <c r="L54" i="9" s="1"/>
  <c r="K55" i="9"/>
  <c r="K56" i="9"/>
  <c r="L56" i="9" s="1"/>
  <c r="K57" i="9"/>
  <c r="L57" i="9" s="1"/>
  <c r="K58" i="9"/>
  <c r="L58" i="9" s="1"/>
  <c r="K59" i="9"/>
  <c r="L59" i="9" s="1"/>
  <c r="K60" i="9"/>
  <c r="K61" i="9"/>
  <c r="L61" i="9" s="1"/>
  <c r="K62" i="9"/>
  <c r="L62" i="9" s="1"/>
  <c r="K63" i="9"/>
  <c r="L63" i="9" s="1"/>
  <c r="K64" i="9"/>
  <c r="L64" i="9" s="1"/>
  <c r="K65" i="9"/>
  <c r="L65" i="9" s="1"/>
  <c r="K66" i="9"/>
  <c r="L66" i="9" s="1"/>
  <c r="K67" i="9"/>
  <c r="L67" i="9" s="1"/>
  <c r="K68" i="9"/>
  <c r="K69" i="9"/>
  <c r="L69" i="9" s="1"/>
  <c r="K70" i="9"/>
  <c r="L70" i="9" s="1"/>
  <c r="N96" i="9"/>
  <c r="L99" i="9"/>
  <c r="N99" i="9" s="1"/>
  <c r="L100" i="9"/>
  <c r="N100" i="9" s="1"/>
  <c r="L101" i="9"/>
  <c r="N101" i="9" s="1"/>
  <c r="L102" i="9"/>
  <c r="N102" i="9" s="1"/>
  <c r="N103" i="9"/>
  <c r="N33" i="9"/>
  <c r="K71" i="9"/>
  <c r="L71" i="9" s="1"/>
  <c r="K72" i="9"/>
  <c r="L72" i="9" s="1"/>
  <c r="K73" i="9"/>
  <c r="L73" i="9" s="1"/>
  <c r="K74" i="9"/>
  <c r="L74" i="9" s="1"/>
  <c r="K75" i="9"/>
  <c r="L75" i="9" s="1"/>
  <c r="K76" i="9"/>
  <c r="L76" i="9" s="1"/>
  <c r="K77" i="9"/>
  <c r="L77" i="9" s="1"/>
  <c r="K47" i="9"/>
  <c r="L47" i="9" s="1"/>
  <c r="N47" i="9" s="1"/>
  <c r="K48" i="9"/>
  <c r="L48" i="9" s="1"/>
  <c r="K78" i="9"/>
  <c r="L78" i="9" s="1"/>
  <c r="K79" i="9"/>
  <c r="L6" i="8"/>
  <c r="N28" i="8"/>
  <c r="N30" i="7"/>
  <c r="N30" i="6"/>
  <c r="K6" i="5"/>
  <c r="N6" i="5"/>
  <c r="K7" i="5"/>
  <c r="N7" i="5"/>
  <c r="K8" i="5"/>
  <c r="N8" i="5"/>
  <c r="K9" i="5"/>
  <c r="N9" i="5"/>
  <c r="K10" i="5"/>
  <c r="N10" i="5"/>
  <c r="K11" i="5"/>
  <c r="N11" i="5"/>
  <c r="K12" i="5"/>
  <c r="L12" i="5"/>
  <c r="N12" i="5"/>
  <c r="K13" i="5"/>
  <c r="N13" i="5" s="1"/>
  <c r="K14" i="5"/>
  <c r="N14" i="5"/>
  <c r="K15" i="5"/>
  <c r="N15" i="5" s="1"/>
  <c r="K16" i="5"/>
  <c r="N16" i="5"/>
  <c r="K17" i="5"/>
  <c r="L17" i="5" s="1"/>
  <c r="K18" i="5"/>
  <c r="L18" i="5"/>
  <c r="K19" i="5"/>
  <c r="N19" i="5"/>
  <c r="K20" i="5"/>
  <c r="L20" i="5" s="1"/>
  <c r="N18" i="5" l="1"/>
  <c r="N10" i="9"/>
  <c r="L68" i="9"/>
  <c r="N68" i="9" s="1"/>
  <c r="N57" i="9"/>
  <c r="N56" i="9"/>
  <c r="N61" i="9"/>
  <c r="N32" i="9"/>
  <c r="N23" i="9"/>
  <c r="N22" i="9"/>
  <c r="N17" i="9"/>
  <c r="N76" i="9"/>
  <c r="N75" i="9"/>
  <c r="N73" i="9"/>
  <c r="N9" i="9"/>
  <c r="N65" i="9"/>
  <c r="L60" i="9"/>
  <c r="N60" i="9" s="1"/>
  <c r="L14" i="9"/>
  <c r="N14" i="9" s="1"/>
  <c r="N77" i="9"/>
  <c r="N67" i="9"/>
  <c r="N51" i="9"/>
  <c r="N30" i="9"/>
  <c r="N16" i="9"/>
  <c r="N48" i="9"/>
  <c r="N71" i="9"/>
  <c r="N69" i="9"/>
  <c r="N64" i="9"/>
  <c r="N63" i="9"/>
  <c r="N53" i="9"/>
  <c r="N18" i="9"/>
  <c r="N13" i="9"/>
  <c r="N12" i="9"/>
  <c r="N28" i="9"/>
  <c r="L79" i="9"/>
  <c r="N79" i="9" s="1"/>
  <c r="N74" i="9"/>
  <c r="N59" i="9"/>
  <c r="L55" i="9"/>
  <c r="N55" i="9" s="1"/>
  <c r="N31" i="9"/>
  <c r="N26" i="9"/>
  <c r="L21" i="9"/>
  <c r="N21" i="9" s="1"/>
  <c r="N8" i="9"/>
  <c r="N78" i="9"/>
  <c r="N72" i="9"/>
  <c r="N70" i="9"/>
  <c r="N66" i="9"/>
  <c r="N62" i="9"/>
  <c r="N58" i="9"/>
  <c r="N54" i="9"/>
  <c r="N24" i="9"/>
  <c r="N20" i="9"/>
  <c r="N15" i="9"/>
  <c r="N11" i="9"/>
  <c r="N7" i="9"/>
  <c r="N20" i="5"/>
  <c r="N17" i="5"/>
  <c r="N21" i="5" s="1"/>
  <c r="N123" i="9" l="1"/>
  <c r="N34" i="9"/>
  <c r="N27" i="9"/>
  <c r="N80" i="9"/>
  <c r="K61" i="1"/>
  <c r="K60" i="1"/>
  <c r="K59" i="1"/>
  <c r="L59" i="1" s="1"/>
  <c r="K38" i="1"/>
  <c r="L38" i="1" s="1"/>
  <c r="N38" i="1" s="1"/>
  <c r="K39" i="1"/>
  <c r="L39" i="1" s="1"/>
  <c r="N39" i="1" s="1"/>
  <c r="K40" i="1"/>
  <c r="L40" i="1" s="1"/>
  <c r="N40" i="1" s="1"/>
  <c r="K41" i="1"/>
  <c r="L41" i="1" s="1"/>
  <c r="N41" i="1" s="1"/>
  <c r="K42" i="1"/>
  <c r="L42" i="1" s="1"/>
  <c r="N42" i="1" s="1"/>
  <c r="K43" i="1"/>
  <c r="L43" i="1" s="1"/>
  <c r="N43" i="1" s="1"/>
  <c r="K44" i="1"/>
  <c r="L44" i="1" s="1"/>
  <c r="N44" i="1" s="1"/>
  <c r="K45" i="1"/>
  <c r="L45" i="1" s="1"/>
  <c r="N45" i="1" s="1"/>
  <c r="K46" i="1"/>
  <c r="K47" i="1"/>
  <c r="N47" i="1" s="1"/>
  <c r="K48" i="1"/>
  <c r="K49" i="1"/>
  <c r="N49" i="1" s="1"/>
  <c r="K50" i="1"/>
  <c r="N50" i="1" s="1"/>
  <c r="K51" i="1"/>
  <c r="N51" i="1" s="1"/>
  <c r="K52" i="1"/>
  <c r="N52" i="1" s="1"/>
  <c r="K54" i="1"/>
  <c r="N54" i="1" s="1"/>
  <c r="K55" i="1"/>
  <c r="N55" i="1" s="1"/>
  <c r="K56" i="1"/>
  <c r="N56" i="1" s="1"/>
  <c r="K37" i="1"/>
  <c r="L37" i="1" s="1"/>
  <c r="N37" i="1" s="1"/>
  <c r="K27" i="1"/>
  <c r="N46" i="1"/>
  <c r="K33" i="1"/>
  <c r="K82" i="1"/>
  <c r="N82" i="1" s="1"/>
  <c r="K35" i="1"/>
  <c r="L35" i="1" s="1"/>
  <c r="K34" i="1"/>
  <c r="K32" i="1"/>
  <c r="L32" i="1" s="1"/>
  <c r="K31" i="1"/>
  <c r="L31" i="1" s="1"/>
  <c r="K30" i="1"/>
  <c r="K29" i="1"/>
  <c r="K28" i="1"/>
  <c r="K26" i="1"/>
  <c r="K25" i="1"/>
  <c r="N25" i="1" s="1"/>
  <c r="K24" i="1"/>
  <c r="N24" i="1" s="1"/>
  <c r="K23" i="1"/>
  <c r="K22" i="1"/>
  <c r="K21" i="1"/>
  <c r="K20" i="1"/>
  <c r="K19" i="1"/>
  <c r="K18" i="1"/>
  <c r="K17" i="1"/>
  <c r="K16" i="1"/>
  <c r="L16" i="1" s="1"/>
  <c r="K15" i="1"/>
  <c r="L15" i="1" s="1"/>
  <c r="K14" i="1"/>
  <c r="L14" i="1" s="1"/>
  <c r="K13" i="1"/>
  <c r="L13" i="1" s="1"/>
  <c r="K9" i="1"/>
  <c r="N9" i="1" s="1"/>
  <c r="N84" i="1"/>
  <c r="K80" i="1"/>
  <c r="N80" i="1" s="1"/>
  <c r="K78" i="1"/>
  <c r="N78" i="1" s="1"/>
  <c r="K77" i="1"/>
  <c r="N77" i="1" s="1"/>
  <c r="K76" i="1"/>
  <c r="N76" i="1" s="1"/>
  <c r="K74" i="1"/>
  <c r="N74" i="1" s="1"/>
  <c r="K73" i="1"/>
  <c r="N73" i="1" s="1"/>
  <c r="K72" i="1"/>
  <c r="N72" i="1" s="1"/>
  <c r="K71" i="1"/>
  <c r="K70" i="1"/>
  <c r="N70" i="1" s="1"/>
  <c r="K69" i="1"/>
  <c r="N69" i="1" s="1"/>
  <c r="K68" i="1"/>
  <c r="N68" i="1" s="1"/>
  <c r="K67" i="1"/>
  <c r="N67" i="1" s="1"/>
  <c r="K64" i="1"/>
  <c r="K63" i="1"/>
  <c r="L63" i="1" s="1"/>
  <c r="K62" i="1"/>
  <c r="I53" i="1"/>
  <c r="K53" i="1" s="1"/>
  <c r="N48" i="1"/>
  <c r="K12" i="1"/>
  <c r="N12" i="1" s="1"/>
  <c r="K11" i="1"/>
  <c r="N11" i="1" s="1"/>
  <c r="K10" i="1"/>
  <c r="N10" i="1" s="1"/>
  <c r="K8" i="1"/>
  <c r="K7" i="1"/>
  <c r="L7" i="1" s="1"/>
  <c r="K6" i="1"/>
  <c r="L62" i="1" l="1"/>
  <c r="N62" i="1" s="1"/>
  <c r="L64" i="1"/>
  <c r="N64" i="1" s="1"/>
  <c r="L60" i="1"/>
  <c r="N60" i="1" s="1"/>
  <c r="L61" i="1"/>
  <c r="N61" i="1" s="1"/>
  <c r="N63" i="1"/>
  <c r="N59" i="1"/>
  <c r="N53" i="1"/>
  <c r="N35" i="1"/>
  <c r="N14" i="1"/>
  <c r="N15" i="1"/>
  <c r="L34" i="1"/>
  <c r="N34" i="1" s="1"/>
  <c r="N13" i="1"/>
  <c r="N16" i="1"/>
  <c r="L33" i="1"/>
  <c r="N33" i="1" s="1"/>
  <c r="L19" i="1"/>
  <c r="N19" i="1" s="1"/>
  <c r="N32" i="1"/>
  <c r="N31" i="1"/>
  <c r="L30" i="1"/>
  <c r="N30" i="1" s="1"/>
  <c r="L29" i="1"/>
  <c r="N29" i="1" s="1"/>
  <c r="L28" i="1"/>
  <c r="N28" i="1" s="1"/>
  <c r="L27" i="1"/>
  <c r="N27" i="1" s="1"/>
  <c r="L26" i="1"/>
  <c r="N26" i="1" s="1"/>
  <c r="L23" i="1"/>
  <c r="N23" i="1" s="1"/>
  <c r="L22" i="1"/>
  <c r="N22" i="1" s="1"/>
  <c r="L21" i="1"/>
  <c r="N21" i="1" s="1"/>
  <c r="L20" i="1"/>
  <c r="N20" i="1" s="1"/>
  <c r="L17" i="1"/>
  <c r="N17" i="1" s="1"/>
  <c r="L18" i="1"/>
  <c r="N18" i="1" s="1"/>
  <c r="L8" i="1"/>
  <c r="N8" i="1" s="1"/>
  <c r="N7" i="1"/>
  <c r="L6" i="1"/>
  <c r="N6" i="1" s="1"/>
</calcChain>
</file>

<file path=xl/sharedStrings.xml><?xml version="1.0" encoding="utf-8"?>
<sst xmlns="http://schemas.openxmlformats.org/spreadsheetml/2006/main" count="2660" uniqueCount="755">
  <si>
    <t>SWP Local Budget Allocated</t>
  </si>
  <si>
    <t>Until 6/30/2024</t>
  </si>
  <si>
    <t>Department</t>
  </si>
  <si>
    <t>Org</t>
  </si>
  <si>
    <t>SWP 6 Balance</t>
  </si>
  <si>
    <t>SWP 7 Allocated</t>
  </si>
  <si>
    <t>Total Allocation</t>
  </si>
  <si>
    <t>CIS: Programming</t>
  </si>
  <si>
    <t>Auto Tech</t>
  </si>
  <si>
    <t>DMT: CNC</t>
  </si>
  <si>
    <t>DMT: CAD</t>
  </si>
  <si>
    <t>Business/Marketing</t>
  </si>
  <si>
    <t>Real Estate</t>
  </si>
  <si>
    <t>Paraleagal</t>
  </si>
  <si>
    <t>Admin of Justice</t>
  </si>
  <si>
    <t>MLT</t>
  </si>
  <si>
    <t>Health Tech</t>
  </si>
  <si>
    <t>Nursing</t>
  </si>
  <si>
    <t>Energy Management</t>
  </si>
  <si>
    <t>Env.Res Management</t>
  </si>
  <si>
    <t>Filim/TV</t>
  </si>
  <si>
    <t>Pro Photo</t>
  </si>
  <si>
    <t>Graphic design</t>
  </si>
  <si>
    <t>Animation</t>
  </si>
  <si>
    <t>Mandarin Interpertation</t>
  </si>
  <si>
    <t>CTE</t>
  </si>
  <si>
    <t>Total</t>
  </si>
  <si>
    <t>SWP Regional Budget Allocated</t>
  </si>
  <si>
    <t>CTE Outreach</t>
  </si>
  <si>
    <t>CTE Admin</t>
  </si>
  <si>
    <t>SWP &amp; Perkins Allocation by Divisions</t>
  </si>
  <si>
    <t>SWP</t>
  </si>
  <si>
    <t>PERKINS</t>
  </si>
  <si>
    <t>BCAT</t>
  </si>
  <si>
    <t>BHES</t>
  </si>
  <si>
    <t>CA</t>
  </si>
  <si>
    <t>LA</t>
  </si>
  <si>
    <t>IIS</t>
  </si>
  <si>
    <t>SSH</t>
  </si>
  <si>
    <t>As of 2/9/2023</t>
  </si>
  <si>
    <t>De Anza College: Instructional Planning and Budget Team</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</si>
  <si>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</si>
  <si>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</si>
  <si>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</si>
  <si>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</si>
  <si>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</si>
  <si>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</si>
  <si>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</si>
  <si>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</si>
  <si>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</si>
  <si>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</si>
  <si>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</si>
  <si>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</si>
  <si>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</si>
  <si>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</si>
  <si>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</si>
  <si>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</si>
  <si>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</si>
  <si>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</si>
  <si>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</si>
  <si>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</si>
  <si>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</si>
  <si>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</si>
  <si>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Document #</t>
  </si>
  <si>
    <t>Critical</t>
  </si>
  <si>
    <t>Equipment</t>
  </si>
  <si>
    <t>CNG Filling Station</t>
  </si>
  <si>
    <t>Compressed Natural Gas (CNG) filling device has been purchased.  We have revisited this project, but no action by the project manager.  An original estimate for Architecture and Engineering only was $35,000.</t>
  </si>
  <si>
    <t>Yes</t>
  </si>
  <si>
    <t>N</t>
  </si>
  <si>
    <t>Y</t>
  </si>
  <si>
    <t xml:space="preserve"> </t>
  </si>
  <si>
    <t>License</t>
  </si>
  <si>
    <t>All data, with shop management</t>
  </si>
  <si>
    <t>1. All groups
2. No, small contribution to reducing the equity gap.  Current equity gap is 1%
3. Replacement equipment allows students to get more experience with tools and equipment needed for entry-level jobs</t>
  </si>
  <si>
    <t>No</t>
  </si>
  <si>
    <t>Rp</t>
  </si>
  <si>
    <t>Shopkey</t>
  </si>
  <si>
    <t>AERA membership and web-based information</t>
  </si>
  <si>
    <t xml:space="preserve">1. All groups
2. No, small contribution to reducing the equity gap.  Current equity gap is 1%
3. Replacement equipment allows students to get more experience with tools and equipment needed for entry-level jobs
</t>
  </si>
  <si>
    <t>ATRA membership and online training</t>
  </si>
  <si>
    <t>Personnel</t>
  </si>
  <si>
    <t>TEAs</t>
  </si>
  <si>
    <t>1. Underserved student populations
2. No, TEAs will help students who need assistance with classroom and lab activities
3. Auto Tech has been hiring TEAs for a few years, helping to increase success rates in evening classes like Auto 53A and Auto 60.  These classes have had historically low success rates</t>
  </si>
  <si>
    <t xml:space="preserve">N </t>
  </si>
  <si>
    <t>Peer tutors for on-campus help</t>
  </si>
  <si>
    <t>1. Underserved student populations
2. No, tutors will help students who need assistance with some of the more difficult auto tech classes
3. Auto Tech has been hiring tutors for years and our equity gap is proof to the effectiveness of tutors</t>
  </si>
  <si>
    <t>Needed</t>
  </si>
  <si>
    <t>Abrasive blast cleaning machine</t>
  </si>
  <si>
    <t>Includes tax and shipping</t>
  </si>
  <si>
    <t>Cleaning oven</t>
  </si>
  <si>
    <t>Soda blast cleaning machine</t>
  </si>
  <si>
    <t>Flywheel grinder</t>
  </si>
  <si>
    <t>shipping not included</t>
  </si>
  <si>
    <t>Software</t>
  </si>
  <si>
    <t>Scan tool software updates</t>
  </si>
  <si>
    <t>Transmission dyno upgrade</t>
  </si>
  <si>
    <t>Parts</t>
  </si>
  <si>
    <t>Electronic transmissins for repair class</t>
  </si>
  <si>
    <t>Tax and shipping is included in total</t>
  </si>
  <si>
    <t>Tools</t>
  </si>
  <si>
    <t>Transmission vacuum testers</t>
  </si>
  <si>
    <t>Tool set for transmission repair class</t>
  </si>
  <si>
    <t>Books</t>
  </si>
  <si>
    <t>Transmission repair manuals</t>
  </si>
  <si>
    <t>Facilities</t>
  </si>
  <si>
    <t>Toolroom storage renovation</t>
  </si>
  <si>
    <t xml:space="preserve">Yes </t>
  </si>
  <si>
    <t>Shipping and installation included</t>
  </si>
  <si>
    <t>Extend outdoor covered area.  Project was cut in 2009</t>
  </si>
  <si>
    <t>1. All groups
2. No, small contribution to reducing the equity gap.  Current equity gap is 1%
3. Extended cover allows students more room to work on projects outside</t>
  </si>
  <si>
    <t>New building in west lot for emerging technologies</t>
  </si>
  <si>
    <t>Rinse booth</t>
  </si>
  <si>
    <t>Tooling</t>
  </si>
  <si>
    <t>Engine parts organizer trays</t>
  </si>
  <si>
    <t>Manual valve spring compressor bench</t>
  </si>
  <si>
    <t>Secondary Ignition Clip-on Wire Adaptor: Snap-on EETM306A02 </t>
  </si>
  <si>
    <t>Secondary Coil Adapter Leads forSecondary Ignition Clip-on : Snap-on EETA309A05A</t>
  </si>
  <si>
    <t>Desirable</t>
  </si>
  <si>
    <t>CarCaddy Electric car pusher</t>
  </si>
  <si>
    <t>Fuel Pressure master test kits: Snap-On EEFI500A</t>
  </si>
  <si>
    <t>Floor cleaning equipment</t>
  </si>
  <si>
    <t>Diamond abrasive and tool holder set (Rottler)</t>
  </si>
  <si>
    <t>Supplies</t>
  </si>
  <si>
    <t>Ultrasonic detergent</t>
  </si>
  <si>
    <t>DMT</t>
  </si>
  <si>
    <t>UNIVERSAL Robotic Arm / For HAAS Live Tooling Lathe CNC</t>
  </si>
  <si>
    <t>FANUC Robotic Arm Tending Cell fo HAAS Vertical CNC Mill</t>
  </si>
  <si>
    <t xml:space="preserve">Formlabs Form 3+  3D Pinter </t>
  </si>
  <si>
    <t xml:space="preserve">Rp
</t>
  </si>
  <si>
    <t>Ultimaker 5S 3D Printer</t>
  </si>
  <si>
    <t xml:space="preserve">   No</t>
  </si>
  <si>
    <t>Ultimaker 3S 3D Printer</t>
  </si>
  <si>
    <t>Stratasys Object 30 3D Printer V5</t>
  </si>
  <si>
    <t>SCA 1200 Ht Cleaning Station</t>
  </si>
  <si>
    <t>SCA Waterjet</t>
  </si>
  <si>
    <t>UMC 750 SS Five-Axis CNC</t>
  </si>
  <si>
    <t xml:space="preserve">CMM - Manager Software </t>
  </si>
  <si>
    <t>Software - CTE program success/Increase core competencies/Expand Career Exploration and Development/Increase student success rates</t>
  </si>
  <si>
    <t>Mastercam annual update</t>
  </si>
  <si>
    <t>Annual</t>
  </si>
  <si>
    <t xml:space="preserve">NIMS National Certification annual </t>
  </si>
  <si>
    <t>Vericut Simulation annual update</t>
  </si>
  <si>
    <t>SolidWorks CAD annual update</t>
  </si>
  <si>
    <t>NX (both CAD and CAM)  annual update</t>
  </si>
  <si>
    <t>Lanschool.</t>
  </si>
  <si>
    <t>Allows students to share their work. Increases student engagement. Browsers may be locked down.</t>
  </si>
  <si>
    <t>Other</t>
  </si>
  <si>
    <t>SWP contract funded non tenure Faculty position for 3 years.</t>
  </si>
  <si>
    <t>All groups / Skill and Program Integration /Implement Achievement Programs/Develop and Implement Evaluations to increas core compatencies for overall student and CTE success / Lowering equity gap</t>
  </si>
  <si>
    <t>3 Years</t>
  </si>
  <si>
    <t>Develop and offer new AM courses,  cell robotics, Quality Assurance courses/consultant</t>
  </si>
  <si>
    <t>Instructional in class assistance (TEA) CNC / CAD/ Additive Manufacturing</t>
  </si>
  <si>
    <t>All groups / Increase core compatencies and increase skill development resulting in student success. Lowering Eequity gap</t>
  </si>
  <si>
    <t>Professional Development / Conferences</t>
  </si>
  <si>
    <t>Professional develoment, Implement achievement Programs/Develop and Implement Evaluations</t>
  </si>
  <si>
    <t>CIS</t>
  </si>
  <si>
    <t>Critical F2F</t>
  </si>
  <si>
    <t>A second overhead projector/monitor</t>
  </si>
  <si>
    <t>The code would be shown on one screen and this second device would allow students to connect at a distance or allow teachers to project textbook or other resources. This is especially helpful to those students having some form of learning disability.</t>
  </si>
  <si>
    <t>N/A</t>
  </si>
  <si>
    <t>Owl  3</t>
  </si>
  <si>
    <t xml:space="preserve">Support CIS faculty who are already teaching dual modality classes and encourage others to do so to provide as much flexibility as possible to students. </t>
  </si>
  <si>
    <t>New</t>
  </si>
  <si>
    <t>5 years</t>
  </si>
  <si>
    <t xml:space="preserve">Meeting Owl 3 + Meeting HQ Device - Intelligent Hybrid Video Conferencing Bundle </t>
  </si>
  <si>
    <t>Smart boards for the classrooms</t>
  </si>
  <si>
    <t>The would give instructors the ability to capture what is written during class and quickly post to Canvas. Students from underrepresented groups and/or first generation college students often are learning how to learn and having notes posted would be particularly helpful to them.</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</si>
  <si>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</si>
  <si>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</si>
  <si>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 xml:space="preserve">Critical </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</si>
  <si>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</si>
  <si>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</si>
  <si>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 xml:space="preserve">Continue offering CodeLab online tutorial free to all our programming students. </t>
  </si>
  <si>
    <t>Paid through August 31, 2023</t>
  </si>
  <si>
    <t>1 Yr</t>
  </si>
  <si>
    <t>zyBooks provided for each beginning programming student to ensure equity</t>
  </si>
  <si>
    <t>ZyBooks is an engaging interactive resource for students which would supplant the current text. However, it is an ineffective tool unless every student can afford it and has access from the start of class. zyBooks gives positive feedback which is especially important to make students feel "they belong" and they will succeed. In conclusion, this resource request 1) is aimed at the underrepresented groups in CIS, 2) will help to close the gap, and 3) make more students in the underrepresented groups feel that "they can".</t>
  </si>
  <si>
    <t xml:space="preserve"> $                 -  </t>
  </si>
  <si>
    <t xml:space="preserve"> $             -  </t>
  </si>
  <si>
    <t>Amazon Web Services</t>
  </si>
  <si>
    <t>For Cloud Security, Amazon Web Services will be needed. ASW can also be used for web development and other CIS classes.</t>
  </si>
  <si>
    <t>Upgrade of LanSchool</t>
  </si>
  <si>
    <t xml:space="preserve">TechSmith - Camtasia </t>
  </si>
  <si>
    <t> Allows capture and immediate editing of lecture with code development for later viewing by students. Several enhancements list such issues as "flipping" the classroom more and the fact that students need to work on lab assignments during class face-toface time. Having videos there for students to review would speed up lecture time and allow for more one-on-one time during class which is most beneficial to students from underrepresented groups.</t>
  </si>
  <si>
    <t>Subscription</t>
  </si>
  <si>
    <t>Departmental Accounts</t>
  </si>
  <si>
    <t>Chegg and other such accounts so that the instructor can see what assistance students are getting online. When we realize that our students are subscribing to tutoring sites we need a departmental
subscription in order to "see" what are students are seeing. This would help in instructors' efforts to curb cheating by copying solutions posted online. It is disconcerting at best for students who want to learn to see their peers get by with copying work from these sources. International students, in particular, feel cheating diminishes the worth of the classes they are enrolled in at De Anza College. Students from underrepresented groups do not have the resources to pay for subscriptions to these services and so feel at a disadvantage in the class.</t>
  </si>
  <si>
    <t>Peer tutoring in the lab or online figured at 3 perquarter working 16 hours per week for 10 weeks per quarter at 15.00</t>
  </si>
  <si>
    <t>Students are able to receive assistance on debugging code from the CIS students who volunteer as Teaching Assistants. However, when students need to have the underlying concepts explained, then the student paid tutors explain the constructs. This is especially beneficial to the student who is first generation college student and/or has limited resources to pay for tutoring and who does not have relatives/friends in a technology field.  In conclusion, this resource request 1) is aimed at the underrepresented groups in CIS, 2) will help to close the gap, and 3) make more students in the underrepresented groups feel that "they can".</t>
  </si>
  <si>
    <t>Mentor - Currently working to build industry relationships, counsel students, and STEM events. Cost is per quarter.</t>
  </si>
  <si>
    <t>This has led  to developing relationships with big-name Tech companies such as Google. Google chose Google employees for panel discussions at the College's STEM events based on their diversity . This hopefully builds on the “if he/she can, then so can I” concept for our students from underrepresented groups.  Google employees have given special lectures to the CIS students. Google has also graciously made tours of Google Mountain View available. Thus far, we have had three tours of 20 students each. The students involved in the lectures and/or tours learn how cool it is to be a Google employee. They also get insights about the interview process realizing they will need to know coding and design topics they are learning in class to successfully garner the job of their choice;  just having a degree is not enough.  In conclusion, this resource request 1) is aimed at the underrepresented groups in CIS, 2) will help to close the gap, and 3) make more students in the underrepresented groups feel that "they can". Several Google employees shared that they were not hired on their first try. So perseverance is a must.</t>
  </si>
  <si>
    <t>Teaching Assistants</t>
  </si>
  <si>
    <t>CIS volunteer assistants are to get certificates acnowledging help assisting their peers and a special event to celebrate.  These students 1) provide valuable assistance to students from our underrepresented groups 2) which helps to close the gap, and 3) make more students in the underrepresented groups feel that "they can".</t>
  </si>
  <si>
    <t xml:space="preserve">Faculty effort to support De Anza College </t>
  </si>
  <si>
    <t>For the last 3 years De Anza CIS department has hosted De Anza College cybercamps in support of K9-K12 high school students.  In addition to High School students we may be expanding cybercamp to include Community College students.</t>
  </si>
  <si>
    <t>YES, clasroom needed</t>
  </si>
  <si>
    <t>Ongoing</t>
  </si>
  <si>
    <t>Faculty</t>
  </si>
  <si>
    <t>Facuty position</t>
  </si>
  <si>
    <t>Spera Georgiou has resigned as of Fall 2022. Desire is to have full time faculty who can collaborate on all core and introcutory courses so students have a more equitable experience. Part-time faculty cannot be expected to donate their time to lead this collaboration.</t>
  </si>
  <si>
    <t>Replacement</t>
  </si>
  <si>
    <t>Faculty hire for 3 years, non-tenure position</t>
  </si>
  <si>
    <t>In meeting the needs of our underrepresented groups we need to offer courses in more branches of technology. In the last five years our enrollment has grown by 11% but no new full-time faculty to support the increase. 57.9% of our classes are taught by part-time faculty. The average for the College is 49.5%. This 8.4% difference is extra significant when trying to close the equity gap. It is extremely challenging to find part-time CIS faculty that have qualifications and experience to teach computer science classes and who have proved that they will be teaching with equity-minded focus.  In conclusion, this resource request 1) is aimed at the underrepresented groups in CIS so we can offer programs that will lead soon to a living wage job, 2) this request will help to close the gap, and 3) make more students in the underrepresented groups know that they can.</t>
  </si>
  <si>
    <t>Offer one cutting edge, never offered before class</t>
  </si>
  <si>
    <t>Need to support possibly low enrolled class to initiate new program and/or support Google IT certificate. This Google IT certificate was created to provid education to step into a living wage job for those in underrepresented groups.</t>
  </si>
  <si>
    <t>Conference Funds</t>
  </si>
  <si>
    <t>Such areas as Cloud computing, Data Science, and Cybersecurity are constantly changing and conferenc attendance is the best way for faculty to keep up to speed in these areas. Faculty are constantly searching for career pathways that earn a living wage but do not require a Bachelor's degree. Faculty are constantly researching pedagogy best practices to foster engagement and equity-mindedness in their classes.</t>
  </si>
  <si>
    <t xml:space="preserve">Peer Tutors </t>
  </si>
  <si>
    <t xml:space="preserve">1. Underserved student populations
2. No, tutors will help students who need assistance with understanding the concepts
3.Peer-tutoring creates more opportunities for students to  ask questions, and learn. The students  may feel comfortable and open when interacting with a peer and the additional help will allow for greater understanding and help in reducing equity gap as well. 
$12x10hr/Wkx11wks=10,560
</t>
  </si>
  <si>
    <t>CIS Testing Center</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</si>
  <si>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 This is an option to proctoring software that has been shown to place less stress on students from our underrepresented and economically disadvantaged groups.</t>
  </si>
  <si>
    <t>REST</t>
  </si>
  <si>
    <t>Textbooks</t>
  </si>
  <si>
    <t>Purchase textbooks</t>
  </si>
  <si>
    <t>Grow REST program by providing Rockwell book access to students entering into REST program core classes. Will motivate students to complete additional courses to obtain their Real Estate License. With unemployment resulting from COVID, this purchase will help many students quickly start in a real estate career. This request augments the NEW non-credit courses offered started Winter 22 that are approved by the department of Real Estate towards the state salespersons exam. With this grant, courses will be 100% free (tuition &amp; books) to promote student equity such that disadvantaged students can attain high paying real estate jobs for no cost.</t>
  </si>
  <si>
    <t>ACCT</t>
  </si>
  <si>
    <t>American Accounting Association Annual Membership</t>
  </si>
  <si>
    <t>Needed for Most recent information on CPA</t>
  </si>
  <si>
    <t xml:space="preserve">Business </t>
  </si>
  <si>
    <t xml:space="preserve">TechSmith - Camtasia &amp; SnagIt Bundle </t>
  </si>
  <si>
    <t>1. All groups
2. &amp; 3. No.  Videos Helpful in asynchronous and synchronous teaching to assure student engagement, information retention and promote equity. With more courses offered online, having videos on Canvas allows better delivery of content.  Camtasia allows capture and immediate editing of lectures for later viewing by students. Also, we can include interactive features such as quizzes to the videos.  It also does the captioning (a major requirement for accessibility).  This software is also useful when we have face-to-face classes.  Videos explaining points of confusion can be rapidly posted on Canvas so students can view them multiple times.
(yearly $169 for Camtasia *5users; yearly $71.85 for 5 users)</t>
  </si>
  <si>
    <t>Membership in American Management Association</t>
  </si>
  <si>
    <t xml:space="preserve">1. All groups
2.&amp; 3. No.  Connections to real world situations enhance student engagement.  This subscription will equip faculty member to stay abreast  current trends in the industry. 
Additional Info. The American Management Association is one of the largest professional association for management professionals.  Provides faculty with access to live webinars, industry updates, toolkits, and templates, digital access to all academic journals and discounts for conferences.  Also, faculty can connect with a network of practitioners and academics all across the US and worldwide – to stay current and understand opportunities and challenges in this discipline. They have very good training programs that faculty can attend at discounted rates. Faculty will have updated knowledge to share with students. </t>
  </si>
  <si>
    <t>Membership in American Marketing  Association</t>
  </si>
  <si>
    <t>1. All groups
2.&amp; 3. No.  Connections to real world situations enhance student engagement.  This subscription will equip faculty member to stay abreast  current trends in the industry. 
Additional Info The American Marketing Association is one of the largest professional association for marketers.  It has around 30,000 members worldwide, covering every area of marketing.  Provides faculty with access to live webinars, industry updates, toolkits, and templates, digital access to all academic journals and discounts for conferences.  Also, faculty can connect with a network of marketing practitioners and academics all across the US and worldwide – to stay current and understand opportunities and challenges in this discipline.</t>
  </si>
  <si>
    <t>IBIS World Research</t>
  </si>
  <si>
    <t xml:space="preserve">1. All Groups.
2. &amp; 3. No. Students who are writing business plans require credible information. Without it they work on assumptions which do not necessarily help them to start a real entrepreneurial venture. Very useful for our business, marketing and entrepreneurship courses.   IBISWorld gives a broad overview of the targeted industry, its product and market segmentation, cost structure benchmarks, competitive dynamics, supply chain map, the regulatory environment, macroeconomic drivers, and much more. Our faculty and students will be able to access this data and use it in understanding market demand, feasibility of  business idea. </t>
  </si>
  <si>
    <t>Statista.com</t>
  </si>
  <si>
    <r>
      <t xml:space="preserve">1.All groups.
2.&amp;3. No. Keeping the cost of textbooks low.  Statista provides insights and facts across 170 industries and covers 150+ countries. Access to good quality data will help faculty stay up to date on industry trends and stay current on the subject matter. Most faculty are now offering low cost or zero cost classes so they have to prepare class materials to supplement the free OER materials they are using.  Having a subscription to this data platform will provide them a free access to useful reports such as brands and company reports, industry reports, digital and trend reports, consumer reports, politics and society reports. </t>
    </r>
    <r>
      <rPr>
        <b/>
        <i/>
        <sz val="9"/>
        <color rgb="FF000000"/>
        <rFont val="Times New Roman"/>
        <family val="1"/>
      </rPr>
      <t>Being able to stay current and have access to reliable industry and consumer data will help them in teach effectively.</t>
    </r>
    <r>
      <rPr>
        <sz val="9"/>
        <color rgb="FF000000"/>
        <rFont val="Times New Roman"/>
        <family val="1"/>
      </rPr>
      <t xml:space="preserve"> Also, students will benefit by having access.  They have to do  research for their projects and to prepare more realistic business plans. Students too will have access to the latest trends and archives.  $700/month *12 = $8400</t>
    </r>
  </si>
  <si>
    <t>Subscription to Harvard Business Review</t>
  </si>
  <si>
    <t xml:space="preserve">1. All groups
2. &amp; 3. No. It is important for faculty to improve and deepen their content knowledge and stay relevant. Harvard Business Review provides updates in the area of strategy, innovation and leadership.  The articles published cover real case-studies and insights from some of the world's best business and management experts. ($10/month if billed annually else $12) 10*12= $120/month *6 for digital access </t>
  </si>
  <si>
    <t>Canva Pro</t>
  </si>
  <si>
    <t xml:space="preserve">
1. All groups
2. &amp; 3. No. Build engagement with all types of learners - visual and auditory learners. To create PowerPoints, infographics, worksheets, flyers, graphs and charts.  Faculty using OER textbooks have to create their own PowerPoints and teaching materials. Having access to creative decks and templates will be very useful. Canva tools can help increase creativity and help engage with students better.  ($119.99/year for 5 licenses)</t>
  </si>
  <si>
    <t>Faculty Position</t>
  </si>
  <si>
    <t>This is a request for a contract funded full-time, non-tenured faculty. It is preferred to be a tenured faculty positions, but since this is not possible, we request the funding through SWP. The Business Department is essential to meeting student degree requirements in multiple majors, including Business Administration, Management, Marketing Management, and Entrepreneurship. Please see attached.</t>
  </si>
  <si>
    <t>Business</t>
  </si>
  <si>
    <t xml:space="preserve">Tutors will students n This is especially beneficial to the student who is first-generation college student and/or has limited resources to pay for tutoring and who </t>
  </si>
  <si>
    <t>RESOURCE REQUEST LIST    Department/Division: Biology   Name of Point of Contact: Anita Muthyala-Kandula</t>
  </si>
  <si>
    <t>Biology</t>
  </si>
  <si>
    <t>PTC Extraction and Amplification Kit</t>
  </si>
  <si>
    <t>We have a wide diversity of students who take biology courses.  Many Biology courses use and need this equipment.  Students in these courses and the educational opportunities that this equipment helps to provide would be impacted negatively if this equipment is not available to them.  All groups of students would be affected, but historically underrepresented students and communities would be more likely to be negatively impacted due to the greater likelihood to not have had these resources and “hands-on” experiences in their earlier educational opportunities.  Having this equipment for all students could also positively impact the equity gap between students.</t>
  </si>
  <si>
    <t>PTC Perishables Set</t>
  </si>
  <si>
    <t>Insect Collection Set , Plastomount Mounted</t>
  </si>
  <si>
    <t xml:space="preserve">Display Animals </t>
  </si>
  <si>
    <t xml:space="preserve">Animal Skulls </t>
  </si>
  <si>
    <t xml:space="preserve">Taxidermy Spesimens </t>
  </si>
  <si>
    <t>Prepared Slides</t>
  </si>
  <si>
    <t>Didactic Flexible Spine Model</t>
  </si>
  <si>
    <t>Microanatomy Bone Structure Model</t>
  </si>
  <si>
    <t>Bone Structure Model</t>
  </si>
  <si>
    <t>Muscular Arm Model</t>
  </si>
  <si>
    <t>Muscular Leg Model</t>
  </si>
  <si>
    <t>Eye Model</t>
  </si>
  <si>
    <t>EKG Machine</t>
  </si>
  <si>
    <t>Glassware Washer</t>
  </si>
  <si>
    <t>Refrigerator</t>
  </si>
  <si>
    <t>Ice Machine</t>
  </si>
  <si>
    <t>Media Dispenser</t>
  </si>
  <si>
    <t>Autoclave</t>
  </si>
  <si>
    <t>Microbiological Incubator</t>
  </si>
  <si>
    <t>PCR Machine</t>
  </si>
  <si>
    <t>Total Requests</t>
  </si>
  <si>
    <t>ERM&amp;P2 Program</t>
  </si>
  <si>
    <t>Equipment (non-capital; &lt;$1000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</si>
  <si>
    <t>In support of CTE program classes in ERM&amp;P2 which serve a diverse set of students.</t>
  </si>
  <si>
    <t>5+</t>
  </si>
  <si>
    <t xml:space="preserve">  </t>
  </si>
  <si>
    <t>Other (Software)</t>
  </si>
  <si>
    <t>Software: dealing with Enviro managemt/ Enviro compliance; environmental impact assessment, enviro Site Assessment and Sustainable /Eco design.</t>
  </si>
  <si>
    <t>Basic educational materials: videos, training aids, reference/technical books, etc</t>
  </si>
  <si>
    <t>Misc Lab &amp; Field Supplies &amp; Safety Equipment (gloves, boots, buckets, eyewear, etc)</t>
  </si>
  <si>
    <t>&lt;1</t>
  </si>
  <si>
    <t>Storage units for safe and secure storage of purchased equipment and supplies.</t>
  </si>
  <si>
    <t>10+</t>
  </si>
  <si>
    <t>Other (Prof Dev)</t>
  </si>
  <si>
    <t>Professional Development (training &amp; conferences)</t>
  </si>
  <si>
    <t>HTEC</t>
  </si>
  <si>
    <t xml:space="preserve">Phillips EKG machine </t>
  </si>
  <si>
    <t>Our traget students include African Americans, Latinx, Filipinx, Pacific Islanders. The funding will only decrease  disparities and create equity..We need to remove the systemic barriers to success and completion of all students regardless of income, first generation status, and race. Individual advise, outreach, and degree planning. Allocation will help to offer tutoring sessions.Funds in the B budget is not enough since the prices have gone up for the supplies, due to the raw material prices rising to makes the supplies. Hands on laboratory experience is absolutely essential for all student to succeeed but the experience is especially invaluable to our underserved students who may come from background in which they were not exposed to these methodologies</t>
  </si>
  <si>
    <t>Phlebotomy Supplies needles, syringes, etc</t>
  </si>
  <si>
    <t>n/a</t>
  </si>
  <si>
    <t xml:space="preserve">HTEC </t>
  </si>
  <si>
    <t>EKG trolley to place the machines on</t>
  </si>
  <si>
    <t>Blood Pressure Simulator</t>
  </si>
  <si>
    <t>Height and Weight Digital Scale</t>
  </si>
  <si>
    <t>critical</t>
  </si>
  <si>
    <t>Pediatric Table with scale</t>
  </si>
  <si>
    <t>Injection Dose Demo Trainer</t>
  </si>
  <si>
    <t>Texbooks for student training</t>
  </si>
  <si>
    <t>Laptop EHR training</t>
  </si>
  <si>
    <t>Peer tutoring, TEA $30 for 12 hours per 12 weeks X 3 quarters</t>
  </si>
  <si>
    <t>Certified Phlebotomy Tech $50 for 6 hour for 12 weeks X 3 quarter</t>
  </si>
  <si>
    <t>PT Faculty Non Instructional Pay for Phlebotomy Renewal</t>
  </si>
  <si>
    <t>other</t>
  </si>
  <si>
    <t xml:space="preserve">Redesign space </t>
  </si>
  <si>
    <t>others</t>
  </si>
  <si>
    <t>Sink upgrades</t>
  </si>
  <si>
    <t>no</t>
  </si>
  <si>
    <t xml:space="preserve">Total Requests 												</t>
  </si>
  <si>
    <t xml:space="preserve">MLT </t>
  </si>
  <si>
    <t xml:space="preserve">
The MLT program serves a diverse group of students, enrollment of African American, and Latinx student has increased while enrollment of Filipinx students has more than tripled. Success rates have also increased in underserved groups over the past 5 years. The MLT program faculty are committed to student success.. They have been successful in working to close the equity gap for student success between targeted and non-­‐targeted student populations through diverse teaching methods and the use of laboratory instrumentation for "hands-­‐on" experience. MLT Information meetings are held at least once per quarter where students interested in getting information about the MLT program can attend for a presentation about the profession, the program and ask any questions they may have. To increase retention and growth of all students, including underrepresented student populations, the MLT faculty utilize a variety of teaching methods including hands on laboratories to expose the students to clinical settings with donated clinical samples, study questions, review and practice skill laboratories, and review sessions. This helps to familiarize students with what they would experience in the clinical setting and make them competitive candidates for externships opportunities in Bay Area clinics and laboratories. Failure to fund these requests would prevent the MLT labs from operating and prevent students from obtaining careers in a quickly growing health field. </t>
  </si>
  <si>
    <t>software licenses renewals</t>
  </si>
  <si>
    <t>Media Lab: RBC Case studies, WBC case studies, UA Case studies.       Med Training  - multimedia comprehensive online instruction to complement classroom teachings in all MLT courses.</t>
  </si>
  <si>
    <t>These software programs are a resource for students to further integrate/practice the skills presented in MLT courses</t>
  </si>
  <si>
    <t>yearly</t>
  </si>
  <si>
    <t>Schuyler House LIS software, installation and equipment</t>
  </si>
  <si>
    <t>Professional development for students to learn lab software for sample processing and reporting. Highly encouraged by training sites</t>
  </si>
  <si>
    <t>software license</t>
  </si>
  <si>
    <t>E Value student tracking system</t>
  </si>
  <si>
    <t>Pilot program for health tech: system to track student performance throughout their program experience</t>
  </si>
  <si>
    <t>supplies for pilot program review labs</t>
  </si>
  <si>
    <t>Pilot program designed to enable the student who has been waiting for clinical placement an opportunity to review and practice required laboratory skills</t>
  </si>
  <si>
    <t>maintenance contracts for instrumentation</t>
  </si>
  <si>
    <t xml:space="preserve">clinical laboratory instrumentation must be maintained in order to function properly for student use.  </t>
  </si>
  <si>
    <t xml:space="preserve">Laboratory supplies, i.e: reagents, media, control material </t>
  </si>
  <si>
    <t xml:space="preserve"> lab material needed for students to perform testing to develop lab skills</t>
  </si>
  <si>
    <t>PPE (gloves, lab coats, goggles, masks, dissinfectant wipes, etc)</t>
  </si>
  <si>
    <t>Provide adequate protection for students and instructors during clinical laboratory classes</t>
  </si>
  <si>
    <t>equpment</t>
  </si>
  <si>
    <t>hospital based glucometers</t>
  </si>
  <si>
    <t>provide clinical testing aligned with industry standards</t>
  </si>
  <si>
    <t>equipment</t>
  </si>
  <si>
    <t>pipettes</t>
  </si>
  <si>
    <t>classroom skill development for students</t>
  </si>
  <si>
    <t xml:space="preserve">chemistry analyzer </t>
  </si>
  <si>
    <t xml:space="preserve">Recording equipment: Camera/headset </t>
  </si>
  <si>
    <t>Help with instruction so students can clearly hear lectures and see demonstrations that are live or pre-recorded</t>
  </si>
  <si>
    <t>cell washers</t>
  </si>
  <si>
    <t>Student skill development</t>
  </si>
  <si>
    <t>LDX POCT analyzer with printer</t>
  </si>
  <si>
    <t>i-STAT POCT analyzer</t>
  </si>
  <si>
    <t>Educational Slides</t>
  </si>
  <si>
    <t>Prepared slides for students to take home for additional skills development</t>
  </si>
  <si>
    <t>eqipment</t>
  </si>
  <si>
    <t>microscopes</t>
  </si>
  <si>
    <t>For student visual demonstrations of abnormal cellular morphology to meet the new legislation of expanded MLT scope that has now included areas of microscopy.</t>
  </si>
  <si>
    <t>centrifuge</t>
  </si>
  <si>
    <t>student skill development in specimen preparation</t>
  </si>
  <si>
    <t>Turning Point equiment and software</t>
  </si>
  <si>
    <t>used to increase student engagement in the classroom</t>
  </si>
  <si>
    <t>5 year replacement</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</si>
  <si>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</si>
  <si>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gel electrophoresis</t>
  </si>
  <si>
    <t>deveop student skills that are current with industry practice</t>
  </si>
  <si>
    <t>other (professional development)</t>
  </si>
  <si>
    <t>CLEC Conference</t>
  </si>
  <si>
    <t>This conference is unique in that it is only for clinical laboratory educators for the purpose of professional development.</t>
  </si>
  <si>
    <t>Faculty, additional pay</t>
  </si>
  <si>
    <t>Staff need to revise current in-person curriculum to convert to online for students and update lab manual</t>
  </si>
  <si>
    <t>Administrative Assistant</t>
  </si>
  <si>
    <t>Help students navigate certificate and processing and screening applications and checking inventory/equipment maintenance and ordering supplies</t>
  </si>
  <si>
    <t>Skills Lab Tutoring</t>
  </si>
  <si>
    <t>Staff needed to provide skills lab to students that need additional hands-on mentoring and lab technique reinforcement. For students that need hours for blood bank training rotation</t>
  </si>
  <si>
    <t>TEA or AHS</t>
  </si>
  <si>
    <t>Peers to provide in class tutoring and mentoring to struggling students, thus increasing student success and decreasing withdrawal rate.</t>
  </si>
  <si>
    <t>microscope cleaning</t>
  </si>
  <si>
    <t>microscopes need to be professionally service and cleaned each quarter</t>
  </si>
  <si>
    <t>Office Assistant</t>
  </si>
  <si>
    <t>Redesign space to accommodate expansion of MLT program to include clinical practica opportunities within the student lab</t>
  </si>
  <si>
    <t>current classroom has 3 sinks, they need to be updated to include foot pedals for handwashing</t>
  </si>
  <si>
    <t xml:space="preserve">Total Requests </t>
  </si>
  <si>
    <t>Critical   1</t>
  </si>
  <si>
    <t xml:space="preserve">Supplies </t>
  </si>
  <si>
    <t>Various disposable supplies (ex but not limited to gloves, needles, etc).</t>
  </si>
  <si>
    <t>Supplies needed for students to practice skills in the lab, examples are gauze, tape, needles, syringes, gloves, bandages, iv bags, iv tubing, etc.</t>
  </si>
  <si>
    <t>RP</t>
  </si>
  <si>
    <t xml:space="preserve">Nursing </t>
  </si>
  <si>
    <t>Critical  1</t>
  </si>
  <si>
    <t xml:space="preserve">Other   </t>
  </si>
  <si>
    <t xml:space="preserve">California Organization of Associate Degree of Nursing "COADN" Annual  membership </t>
  </si>
  <si>
    <t>COADN will help:To improve the quality of associate degree nursing education throughout the state and to promote safety and quality of patient care through:
Coordinating activities designed to enhance and improve student access, curriculum, career mobility, and employment.
Enhancing communication and networking between various nursing programs at all levels by providing a forum for discussion and sharing of successes, problems, and concerns.
Developing group positions on current issues from sources including consumers, legislatures, student paraprofessionals having a direct impact on associate degree nursing education and to plan appropriate actions related to these positions.
Promoting, encouraging, and providing continuing education and staff development activities for Associate Degree Directors, and Faculty.
Monitoring/disseminating information regarding legislation and appointments to boards, task forces, and similar entities that influence nursing.
Providing for the socialization and orientation process of new directors.</t>
  </si>
  <si>
    <t xml:space="preserve">Critical 1 </t>
  </si>
  <si>
    <t>Hospital bed</t>
  </si>
  <si>
    <t>develop clinical skills replicating clinical site experience</t>
  </si>
  <si>
    <t>10 years</t>
  </si>
  <si>
    <t xml:space="preserve">3 Minikans with different skin colors </t>
  </si>
  <si>
    <t>To help improving Nursing Students  education, patient safety, clinical competency and performance
 through simulation-based training. Simulation training helping learners to develop critical thinking skills.when utelizing different colored minikins represents diverse patients popultion. 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</si>
  <si>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 xml:space="preserve">New Items </t>
  </si>
  <si>
    <t xml:space="preserve">5 years </t>
  </si>
  <si>
    <t xml:space="preserve">A pediatric Simulator </t>
  </si>
  <si>
    <t>a pediatric patient simulator that represents a seven-year-old child and offers a wide range of pediatric training scenarios. From assessment to performing essential clinical skills, Nursing Students can develop critical decision-making procedures and learn in a risk-free environment.To foster an environment where similarities and differences are not only embraced and valued, but also celebrated.</t>
  </si>
  <si>
    <t xml:space="preserve">Total Price Include the Simulators and all other needed equipments , Shipping , Taxes, Installation and 5 years maintainance plan </t>
  </si>
  <si>
    <t xml:space="preserve">Equipment </t>
  </si>
  <si>
    <t xml:space="preserve">Nursing Student Computer Lab updates </t>
  </si>
  <si>
    <r>
      <t xml:space="preserve">Almost all of our exams are computerized in addition to our clinical resources . Providing updated computers will facilitiate students success  considering some students are struggling financily . The computer lab will provide access to required texts e books, resources. additionally, </t>
    </r>
    <r>
      <rPr>
        <b/>
        <sz val="12"/>
        <color indexed="8"/>
        <rFont val="Times New Roman"/>
        <family val="1"/>
      </rPr>
      <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r>
  </si>
  <si>
    <t>Is it a refresh ?</t>
  </si>
  <si>
    <t xml:space="preserve">Acreditation Commission of Education In Nursing " ACEN"                                </t>
  </si>
  <si>
    <r>
      <t xml:space="preserve"> ACEN accreditation process gives a nursing  program :the opportunity to validate that it is committed to providing a quality nursing program . </t>
    </r>
    <r>
      <rPr>
        <b/>
        <sz val="12"/>
        <color indexed="8"/>
        <rFont val="Times New Roman"/>
        <family val="1"/>
      </rPr>
      <t>Students with socio economic challlenges will be helped with greater access and support  from federal and state agencies, and foundations</t>
    </r>
    <r>
      <rPr>
        <sz val="12"/>
        <color indexed="8"/>
        <rFont val="Times New Roman"/>
        <family val="1"/>
      </rPr>
      <t xml:space="preserve">.ACEN accreditation  Is required by many nursing programs for admission to the graduate level, as well as by some state regulatory agencies for licensures, and many employers.
</t>
    </r>
  </si>
  <si>
    <t>Costs Includes Fees for Candidacy Fees, Initial accreditations fees , Site Visit fees, Periodic fees , Consultations Fees, Advisory Review Fees</t>
  </si>
  <si>
    <t>30'000</t>
  </si>
  <si>
    <t xml:space="preserve">Nursing  Professional Development " Conferences, workshops,  Nursing Journals subscriptions and Nursing association memberships , training, certifications "  </t>
  </si>
  <si>
    <t>Research has showed that  Experienced
faculty are often replaced with clinicians who are expert in clinical
practice, but lack the knowledge, skills, and attitudes needed to
teach and evaluate students. As a result, the need for professional development and structured mentoring for nurse educators continues to increase.Utilizing evidence-based  and new learning /teaching strategies may assist new
faculty who are transitioning from the clinical to the academic environment and may assist experienced faculty in updating understanding of best practices in nursing education.</t>
  </si>
  <si>
    <t xml:space="preserve">New Item </t>
  </si>
  <si>
    <t xml:space="preserve">NA </t>
  </si>
  <si>
    <t xml:space="preserve">Nursing  </t>
  </si>
  <si>
    <t xml:space="preserve">Clinical Site Placement Coordinator </t>
  </si>
  <si>
    <t xml:space="preserve">The Clinical Site Placement Coordinator  provides a consistent contact person within the Nursing Department to manage student placement through collaboration with colleges, universities, hospitals, clinics, community placements and long term care/skilled nursing facilities. 
</t>
  </si>
  <si>
    <t>New Item</t>
  </si>
  <si>
    <t>NA</t>
  </si>
  <si>
    <t>The funds will be utilized as:
- Salary, benefits, travel expenses and supplies needed to fulfill the CSPC position to provide the support needed for the health programs students</t>
  </si>
  <si>
    <t xml:space="preserve">Nursing team " Faculty, Director and Staff )  Professional Development -Simulation Training </t>
  </si>
  <si>
    <t>Research has identified Many challenges that are associated with requiring faculty members to learn simulation pedagogy. Ensuring they know how to implement clinical simulations across different courses and how to debrief using best practices may be difficult to operationalize but is critical for a successful outcome. The Board Of Registered Nursing policies determining the amount of clinical time that can be replaced by simulation. Ensuring that faculty members who use simulation receive education and skills in simulation pedagogy and debriefing is essential for successful student outcomes.</t>
  </si>
  <si>
    <t>2years</t>
  </si>
  <si>
    <t xml:space="preserve">Needed </t>
  </si>
  <si>
    <t xml:space="preserve">Large Screen display " Nursing Department Monitor to post either in the  Skills lab or and outside the front of the nursing Department  </t>
  </si>
  <si>
    <t xml:space="preserve">continuously and dynamically presenting current announcements, information students and faculty related,  presenting  Pictures of Graduated Cohorts /classes </t>
  </si>
  <si>
    <t xml:space="preserve">Facility  </t>
  </si>
  <si>
    <t xml:space="preserve">Nursing Faculty Conference room </t>
  </si>
  <si>
    <t>Provide a space to conduct faculty meetings , connect to support building a stronger  team and improve the morals, Will need to move the front wall  of S82 C forward to expand the room , then place purchace conferece room table , 10 chairs , smart monitor, computer, a sink , book shelve</t>
  </si>
  <si>
    <t xml:space="preserve">new item </t>
  </si>
  <si>
    <t xml:space="preserve">Facility and Eqipments </t>
  </si>
  <si>
    <t xml:space="preserve">Nursing &amp; Allied Health Students Lounge </t>
  </si>
  <si>
    <t xml:space="preserve"> to create an environment our students can thrive in. The lounge would provide the students a place for studying or just to kick back and relax amongst peers. providing each student the opportunity to learn and succeed in a comfortable and inviting atmosphere. Accessible during campus office hours. students benefit as they prepare to become a healthcare professional in today’s competitive job market.</t>
  </si>
  <si>
    <t xml:space="preserve">Critical  </t>
  </si>
  <si>
    <t xml:space="preserve">Update and reconstruct the Simulation lab </t>
  </si>
  <si>
    <t>The Nursing Simulation Laboratory is designed to provide students with hands-on clinical experiences. The clinical opportunities in simulated specialty units include Pediatric lab, Critical care lab, Maternity/Newborn lab, Health assessment/Skills labs
Each unit integrates various fidelities of human patient simulators, in which students encounter patient situations with symptoms, diseases, and conditions common in a traditional clinical setting. Simulating “real-life” situations in the simulation lab, provides students with opportunities to enhance development of nursing skills, teamwork, interdisciplinary communication, critical thinking, and clinical judgment skills. Students experiences in the lab include utilization of some of the most current technology in healthcare settings 
The nursing simulation lab also has control rooms that are adjacent to most specialty units. These rooms are for observation and recording of clinical simulations, which are utilized for reflection and debriefing of simulations. There is also a student lounge and study area, where students have access to a library of nursing textbooks, reference materials, wireless internet,To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</si>
  <si>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10 y</t>
  </si>
  <si>
    <t xml:space="preserve">Proper placement of the Nursing Department name  over the roof of the building all 4 sides. There is a need to market the department in a a way to attaract De Anza students , the community we serve. A better sign will minimize the complaints and the frustrations of People getting wehn having difficulties trying to find the department . </t>
  </si>
  <si>
    <t xml:space="preserve">The current sign has been  rusted  with small fonts does not help with marketing the department or help  students , visitors to find the department , faculty and staff . Propper signage  of the name of the building would help in marketing us properly. Make us considerate when we provide any one with direction to our department </t>
  </si>
  <si>
    <t>New tems</t>
  </si>
  <si>
    <t xml:space="preserve">Total requests </t>
  </si>
  <si>
    <t>ES/ESCI- EMBS program</t>
  </si>
  <si>
    <t>CRITICAL</t>
  </si>
  <si>
    <t>software licenses</t>
  </si>
  <si>
    <t>needed by EMBS</t>
  </si>
  <si>
    <t>ESCI/ES</t>
  </si>
  <si>
    <t>needed by all ES/ESCI classes</t>
  </si>
  <si>
    <t>ES/ESCI ERM&amp;P2 Program</t>
  </si>
  <si>
    <t>In support of CTE program classes in ERM&amp;P2</t>
  </si>
  <si>
    <t>Necessary</t>
  </si>
  <si>
    <t>Other (Supplies)</t>
  </si>
  <si>
    <t>ES/ESCI- EMBS Program</t>
  </si>
  <si>
    <t>ETS</t>
  </si>
  <si>
    <t>WIFI Upgrade in Kirsch 239 to provide higher bandwidth for lab equipment</t>
  </si>
  <si>
    <t>Improve Student Success Rates; Meet CCCCO CTE Key Performance Indicators</t>
  </si>
  <si>
    <t>2+</t>
  </si>
  <si>
    <t>Materials for providing instructor access to Kirsch Center EMS system in Kirsch 239 and lobby plasma display</t>
  </si>
  <si>
    <t>Equip</t>
  </si>
  <si>
    <t>Various supplies for lab classes- racks for equipment, wiring, plugs, electrical equipment, power strips, meters, temp guns, resistors, controls, sensors, lab tools</t>
  </si>
  <si>
    <t>Tridium Jace/8000 (open licensing) with Modbus/TCP Gateway Driver and 10 Niagara Network Connections (S-N4-10-3YR) for student controls programming</t>
  </si>
  <si>
    <t>Trend TL1 Sequence Programming by ETS or Contractor</t>
  </si>
  <si>
    <t>YES</t>
  </si>
  <si>
    <t>Programming Initial Jace/8000 Facilities Graphical User Interface by Contractor</t>
  </si>
  <si>
    <t>Labor for Kirsch Electrical Obvius Energy Data Acquisition Device Install &amp; Modbus Wiring to existing electrical meters</t>
  </si>
  <si>
    <t>Student/Faculty Consulting Time with TL1 Installation/Programming Contractor</t>
  </si>
  <si>
    <t>ETS Labor and Materials for providing instructor access to Kirsch Center EMS system in Kirsch 239 and lobby plasma display</t>
  </si>
  <si>
    <t>Other-Additional Resource</t>
  </si>
  <si>
    <t xml:space="preserve">Additional pay for Part time faculty to transition program responsibilities </t>
  </si>
  <si>
    <t>Additional pay for Part time faculty / student activities</t>
  </si>
  <si>
    <t>Trend (Jace8000) TL1 w/Novar Drivers (Open Licensing) to replace existing Novar Lingo Executive Controllers</t>
  </si>
  <si>
    <t>Improve Student Success Rates; Meet CCCCO CTE  Key Performance Indicators</t>
  </si>
  <si>
    <t>Niagara 4 Supervisor License w/ 3 year sw support</t>
  </si>
  <si>
    <t>Floor electrical outlet repair in Kirsch 239 (reliable power must be provided at each desk in KC239 for lab equipment)</t>
  </si>
  <si>
    <t>Total BHES req</t>
  </si>
  <si>
    <r>
      <t xml:space="preserve">RESOURCE REQUEST LIST 2020-21   </t>
    </r>
    <r>
      <rPr>
        <b/>
        <u/>
        <sz val="9"/>
        <color indexed="8"/>
        <rFont val="Times New Roman"/>
        <family val="1"/>
      </rPr>
      <t xml:space="preserve">Department/Division  </t>
    </r>
    <r>
      <rPr>
        <b/>
        <sz val="9"/>
        <color indexed="8"/>
        <rFont val="Times New Roman"/>
        <family val="1"/>
      </rPr>
      <t xml:space="preserve">          Creative Arts  </t>
    </r>
    <r>
      <rPr>
        <b/>
        <u/>
        <sz val="9"/>
        <color indexed="8"/>
        <rFont val="Times New Roman"/>
        <family val="1"/>
      </rPr>
      <t>Name of Point of Contact:</t>
    </r>
    <r>
      <rPr>
        <b/>
        <sz val="9"/>
        <color indexed="8"/>
        <rFont val="Times New Roman"/>
        <family val="1"/>
      </rPr>
      <t xml:space="preserve"> </t>
    </r>
    <r>
      <rPr>
        <sz val="9"/>
        <color indexed="8"/>
        <rFont val="Times New Roman"/>
        <family val="1"/>
      </rPr>
      <t>Daniel Smith</t>
    </r>
  </si>
  <si>
    <t>Updated 01/13/2023</t>
  </si>
  <si>
    <t>Changes are in blue font</t>
  </si>
  <si>
    <t>Tax
9.1250%</t>
  </si>
  <si>
    <t>Art-Graphic Design</t>
  </si>
  <si>
    <t>Modernize computer lab: Cintique work stations</t>
  </si>
  <si>
    <t>Affects Latinx (24%), Filipinx (8%), African American (2%). No unintended consequences. Helps eliminate equity gap by providing equal access to the same quality equipment regardless of financial resources. Advances opportunities by providing tools/training needed to enhance transfer and employment goals.Graphic Design is a CTE program that awarded 13 AAs and 7 CoAs in 20-21. CA awards to underserved groups have increased from 15 to 44 in last two years.</t>
  </si>
  <si>
    <t>X</t>
  </si>
  <si>
    <t>Still need 8 units to complete the classroom conversion.</t>
  </si>
  <si>
    <t>F/TV-Production</t>
  </si>
  <si>
    <t>16mm Motion Picture Camera</t>
  </si>
  <si>
    <t>Affects Latinx (28%), Filipinx (9%), African American (4%), Native American &amp; Pacific Islander (2%).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</si>
  <si>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30+</t>
  </si>
  <si>
    <t>Current equipment is at least 60 years old. Students cannot afford equipment on their own. Expect quote by end of Feb. 2023</t>
  </si>
  <si>
    <t>Digital Cinema Camera Kit with accessories, such as lens, monitor/recorder, recording media, and camera case (Sony PXW-FS6)</t>
  </si>
  <si>
    <t xml:space="preserve">Having come out recently, these professional digital cinema cameras will allow students to learn the latest 4K workflows.  The number of cameras will serve approximately 90 students at a time in one quarter, thus providing a 9:1 ratio of students to cameras. </t>
  </si>
  <si>
    <t>Upgrade equipment to be closer to that used professionally and at competing programs. Cost can be split with CTE funding.</t>
  </si>
  <si>
    <t>Peer Tutors and Mentors</t>
  </si>
  <si>
    <t>Essential for our department's ability to  increase student success, provide equity for underrepresented populations, and serve them better</t>
  </si>
  <si>
    <t>Perkins</t>
  </si>
  <si>
    <t>Professional Development/Guest Speakers</t>
  </si>
  <si>
    <t xml:space="preserve">Critical for our CTE progran to allow for the continuous and highly specializedpractical training of faculty on the latest professional industry workflows. </t>
  </si>
  <si>
    <t>16mm Motion Picture Film Stock and Processing</t>
  </si>
  <si>
    <t>Needed for Fall 2023 class. Equity issue. Students should not be prevented from signing up for a class because of the cost of film and processing to provide equity. In addition, digital trransfer will give De Anza students the same quality and workflow as other film students.</t>
  </si>
  <si>
    <t>iPad pens</t>
  </si>
  <si>
    <t>The iPad pencils are a needed accessory for the 8th generation iPads which were purchased last year</t>
  </si>
  <si>
    <t>Photo</t>
  </si>
  <si>
    <t>Replace Photo Enlargers</t>
  </si>
  <si>
    <t>Affects Latinx (31%), Filipinx (8%), African American (3%).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</si>
  <si>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6+</t>
  </si>
  <si>
    <t>Unable to complete updating of units without additional funding.</t>
  </si>
  <si>
    <t>Music</t>
  </si>
  <si>
    <t>7 Mariachi instruments and cases</t>
  </si>
  <si>
    <t>Provides instruments for Spring 2023 Mariachi Ensemble class. This course provides greater diversity in our offerings, and will help reflect our student population. However, we do not yet have the instruments needed to conduct the course.</t>
  </si>
  <si>
    <t xml:space="preserve">Flute, Yamaha 577H </t>
  </si>
  <si>
    <t>Replacement for worn flute. Needed to provide enough instruments for instrumental music students.</t>
  </si>
  <si>
    <t>Flute, Amadeus AF570</t>
  </si>
  <si>
    <t>Alto flute. Needed to provide enough instruments for an increased number of instrumental music students.</t>
  </si>
  <si>
    <t>F/TV-Production, Animation, Screenwriting</t>
  </si>
  <si>
    <t>Online Film Access: Swank Digital Campus annual license</t>
  </si>
  <si>
    <t>multiple</t>
  </si>
  <si>
    <t>Need renewal. Ongoing need for online classes can no longer be met by HEERF funding.</t>
  </si>
  <si>
    <r>
      <t xml:space="preserve">RESOURCE REQUEST LIST 2020-21   </t>
    </r>
    <r>
      <rPr>
        <b/>
        <u/>
        <sz val="11"/>
        <color indexed="8"/>
        <rFont val="Times New Roman"/>
        <family val="1"/>
      </rPr>
      <t xml:space="preserve">Department/Division:      </t>
    </r>
    <r>
      <rPr>
        <b/>
        <sz val="11"/>
        <color indexed="8"/>
        <rFont val="Times New Roman"/>
        <family val="1"/>
      </rPr>
      <t>Auto Tech___________</t>
    </r>
    <r>
      <rPr>
        <b/>
        <u/>
        <sz val="11"/>
        <color indexed="8"/>
        <rFont val="Times New Roman"/>
        <family val="1"/>
      </rPr>
      <t xml:space="preserve">    Name of Point of Contact:</t>
    </r>
    <r>
      <rPr>
        <b/>
        <sz val="11"/>
        <color indexed="8"/>
        <rFont val="Times New Roman"/>
        <family val="1"/>
      </rPr>
      <t xml:space="preserve"> </t>
    </r>
    <r>
      <rPr>
        <sz val="11"/>
        <color indexed="8"/>
        <rFont val="Times New Roman"/>
        <family val="1"/>
      </rPr>
      <t>___Dave Capitolo_________</t>
    </r>
  </si>
  <si>
    <r>
      <rPr>
        <b/>
        <u/>
        <sz val="11"/>
        <color indexed="8"/>
        <rFont val="Times New Roman"/>
        <family val="1"/>
      </rPr>
      <t>I</t>
    </r>
    <r>
      <rPr>
        <b/>
        <sz val="11"/>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11"/>
        <color indexed="8"/>
        <rFont val="Times New Roman"/>
        <family val="1"/>
      </rPr>
      <t>must</t>
    </r>
    <r>
      <rPr>
        <b/>
        <sz val="11"/>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11"/>
        <color indexed="10"/>
        <rFont val="Times New Roman"/>
        <family val="1"/>
      </rPr>
      <t xml:space="preserve">
</t>
    </r>
    <r>
      <rPr>
        <b/>
        <sz val="11"/>
        <color indexed="8"/>
        <rFont val="Times New Roman"/>
        <family val="1"/>
      </rPr>
      <t xml:space="preserve">Priorities: </t>
    </r>
    <r>
      <rPr>
        <b/>
        <sz val="11"/>
        <color indexed="10"/>
        <rFont val="Times New Roman"/>
        <family val="1"/>
      </rPr>
      <t>Critical:</t>
    </r>
    <r>
      <rPr>
        <b/>
        <sz val="11"/>
        <color indexed="8"/>
        <rFont val="Times New Roman"/>
        <family val="1"/>
      </rPr>
      <t xml:space="preserve"> Courses and/or program cannot run without it; </t>
    </r>
    <r>
      <rPr>
        <b/>
        <sz val="11"/>
        <color indexed="10"/>
        <rFont val="Times New Roman"/>
        <family val="1"/>
      </rPr>
      <t>Needed</t>
    </r>
    <r>
      <rPr>
        <b/>
        <sz val="11"/>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11"/>
        <color indexed="10"/>
        <rFont val="Times New Roman"/>
        <family val="1"/>
      </rPr>
      <t>Desirable:</t>
    </r>
    <r>
      <rPr>
        <b/>
        <sz val="11"/>
        <color indexed="8"/>
        <rFont val="Times New Roman"/>
        <family val="1"/>
      </rPr>
      <t xml:space="preserve"> Requested as part of program growth or innovation </t>
    </r>
    <r>
      <rPr>
        <b/>
        <u/>
        <sz val="11"/>
        <color indexed="8"/>
        <rFont val="Times New Roman"/>
        <family val="1"/>
      </rPr>
      <t xml:space="preserve">
</t>
    </r>
    <r>
      <rPr>
        <sz val="11"/>
        <color indexed="8"/>
        <rFont val="Times New Roman"/>
        <family val="1"/>
      </rPr>
      <t xml:space="preserve">
</t>
    </r>
  </si>
  <si>
    <r>
      <t xml:space="preserve">Category:
</t>
    </r>
    <r>
      <rPr>
        <sz val="11"/>
        <rFont val="Times New Roman"/>
        <family val="1"/>
      </rPr>
      <t>Equipment,
Facility, or
Other</t>
    </r>
  </si>
  <si>
    <t>Tax
9.125%</t>
  </si>
  <si>
    <t>On Going / Critical</t>
  </si>
  <si>
    <t>Classified Support</t>
  </si>
  <si>
    <t>CTE Admin, Curriculum Support, Non credit, Concurrent, Adult Ed and Dual enrollment supports</t>
  </si>
  <si>
    <t>N/RP</t>
  </si>
  <si>
    <t xml:space="preserve">    Current approved Salary encumbered</t>
  </si>
  <si>
    <t>Administratie Support</t>
  </si>
  <si>
    <t>CTE Dean and Nursing Manager</t>
  </si>
  <si>
    <t>Faculty Counseling and Nursing</t>
  </si>
  <si>
    <t>Nursing clinical faculty support and CTE Counseling</t>
  </si>
  <si>
    <t>Software/Subscription</t>
  </si>
  <si>
    <t>Handshake Software</t>
  </si>
  <si>
    <t>Annual Renewal for employment connection application for job fair, career and internship development</t>
  </si>
  <si>
    <t>Emergency Fund</t>
  </si>
  <si>
    <t>Needed to cover any unexpected payments or maintenance in CTE departments</t>
  </si>
  <si>
    <t>Staff</t>
  </si>
  <si>
    <t>Coordinator for Career Center - Program Coordinator II (C-52) 12 months</t>
  </si>
  <si>
    <t>To manage the career center, internship, workshops, CTE tours and workforce development workshops</t>
  </si>
  <si>
    <t>CTE Outreach and Marketing Materials</t>
  </si>
  <si>
    <t>CTE marketing materials to advertise the college programs and student appreciation materials</t>
  </si>
  <si>
    <t>CTE Coference and Tours</t>
  </si>
  <si>
    <t>Expenses cover high school, adult or special population tours, transportaion, food, etc</t>
  </si>
  <si>
    <t>Conference and Training</t>
  </si>
  <si>
    <t>Attend coferences and training to learn and implement new initiatives</t>
  </si>
  <si>
    <t>New CTE Initiatives</t>
  </si>
  <si>
    <t>CTE program initiative expenses to meet local, state and federal guidelines</t>
  </si>
  <si>
    <t>Software/subscription</t>
  </si>
  <si>
    <t>CATEMA</t>
  </si>
  <si>
    <t>Software program used to main accurate records of students who pursue CTE "Credit by Exam" options. It is also a system to award, document, and track "Credit by Exam." (First year cost would be $2,300 (1800+500 set up fee and 2 hour orientaion for admin), plus any desired webinar training. Each subsequent year cost would be $1,800. )</t>
  </si>
  <si>
    <t>Miroir HD Pro Projector- M220</t>
  </si>
  <si>
    <t xml:space="preserve">Projector to conduct outreach presentations in the community </t>
  </si>
  <si>
    <t>Laptop - Apple 16 Macbook Pro with accessories</t>
  </si>
  <si>
    <t>Department laptop resource for outreach activities and student support assistance</t>
  </si>
  <si>
    <t>CATEMA User Training</t>
  </si>
  <si>
    <t>2 Hour CATEMA user training</t>
  </si>
  <si>
    <t>Materials and Supplies</t>
  </si>
  <si>
    <t>Materials and supplies for CTE Office</t>
  </si>
  <si>
    <r>
      <t xml:space="preserve">RESOURCE REQUEST LIST 2022-23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</si>
  <si>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Journalism</t>
  </si>
  <si>
    <t xml:space="preserve">Photo equipment - cameras </t>
  </si>
  <si>
    <t>Journalism offers equipment for students to borrow to enhance their media production.</t>
  </si>
  <si>
    <t>Tripods</t>
  </si>
  <si>
    <t>Replacement of camera peripherls, small items e.g. lens caps, SD cards, camera bags etc.</t>
  </si>
  <si>
    <t>TBA</t>
  </si>
  <si>
    <t>Faculty development</t>
  </si>
  <si>
    <t xml:space="preserve">Faculty need continual training in media production technology </t>
  </si>
  <si>
    <t>Student Tutor</t>
  </si>
  <si>
    <t>Student tutors assists journalism students succeed in courses, learn software and equipment to help them succeed.</t>
  </si>
  <si>
    <r>
      <t xml:space="preserve">RESOURCE REQUEST LIST 2022-23   </t>
    </r>
    <r>
      <rPr>
        <b/>
        <u/>
        <sz val="9"/>
        <color indexed="8"/>
        <rFont val="Times New Roman"/>
        <family val="1"/>
      </rPr>
      <t>Department/Division:  Intercultural and International Studies Division   Name of Point of Contact:</t>
    </r>
    <r>
      <rPr>
        <b/>
        <sz val="9"/>
        <color indexed="8"/>
        <rFont val="Times New Roman"/>
        <family val="1"/>
      </rPr>
      <t xml:space="preserve"> </t>
    </r>
    <r>
      <rPr>
        <sz val="9"/>
        <color indexed="8"/>
        <rFont val="Times New Roman"/>
        <family val="1"/>
      </rPr>
      <t>Debbie Lee</t>
    </r>
  </si>
  <si>
    <t>Spanish</t>
  </si>
  <si>
    <t>Microphones</t>
  </si>
  <si>
    <t>The faculty sometimes lose their voice or get laryngitis. Microphones help prevent instructors from straining their vocal cords to be heard. In a language class, it is a must that students hear the language spoken.</t>
  </si>
  <si>
    <t>N and Rp</t>
  </si>
  <si>
    <t>5 - 10 years</t>
  </si>
  <si>
    <t>approximately $300</t>
  </si>
  <si>
    <t>~$25</t>
  </si>
  <si>
    <t>approx $350 - 360</t>
  </si>
  <si>
    <t>World Languages</t>
  </si>
  <si>
    <t>desirable</t>
  </si>
  <si>
    <t>Software licenses for apps to help learn world languages</t>
  </si>
  <si>
    <t>The software is used for students to learn languages through games and videos and quizzes.</t>
  </si>
  <si>
    <t>approx $100/instructor</t>
  </si>
  <si>
    <t>Mandarin Translation/Interpretation</t>
  </si>
  <si>
    <t>Marketing/Outreach</t>
  </si>
  <si>
    <t>Advertise the classes.</t>
  </si>
  <si>
    <t>We need to get the word out about these classes. The program is relatively new.</t>
  </si>
  <si>
    <t>$500/ad</t>
  </si>
  <si>
    <t>Guest Speakers</t>
  </si>
  <si>
    <t>Professional translator/interpreter speaking in classes and giving workshops.</t>
  </si>
  <si>
    <t>Guest speakers who are professional translators/interpreters can help students understand what the job and various different interpretation specialties entail.</t>
  </si>
  <si>
    <t>$500/speaker</t>
  </si>
  <si>
    <t>Conferences</t>
  </si>
  <si>
    <t xml:space="preserve">Professional conferences </t>
  </si>
  <si>
    <t xml:space="preserve">Keep updated in the discipline and job market. </t>
  </si>
  <si>
    <t>$2000/conference</t>
  </si>
  <si>
    <t>Membership to professional organizations</t>
  </si>
  <si>
    <t>Memberships allow us to advertise and learn about internships for students.</t>
  </si>
  <si>
    <t>Contacts in the professional field.</t>
  </si>
  <si>
    <t>Software licenses for interpretation/translation program</t>
  </si>
  <si>
    <t>The software is Canvas integrable and helps faculty with assessing interpretation methods.</t>
  </si>
  <si>
    <t>Yes -- just needs Office of Online Learning to approve the licenses in Canvas</t>
  </si>
  <si>
    <t>approx $70/license</t>
  </si>
  <si>
    <t>CETH/NAIS</t>
  </si>
  <si>
    <t>CETH/NAIS instructor</t>
  </si>
  <si>
    <t>Tenure</t>
  </si>
  <si>
    <t>FTE</t>
  </si>
  <si>
    <t>World Language Coordinator</t>
  </si>
  <si>
    <t>2/3 World Lang instructor (Japanese or Korean) + 1/3 World Lang Coordinator</t>
  </si>
  <si>
    <t>10 of our languages do not have FT faculty. The world language coordinator is needed to coordinate curriculum and program needs/review for all the languages</t>
  </si>
  <si>
    <t>PARA</t>
  </si>
  <si>
    <t>Priority &amp; Critical</t>
  </si>
  <si>
    <t xml:space="preserve">Additional Pay to serve as Interim Program Director </t>
  </si>
  <si>
    <t>ABA requires a program director who is familiar with the utlilizaiton of paralegals and the profession</t>
  </si>
  <si>
    <t>NO</t>
  </si>
  <si>
    <t>FA21, WI 22, SP 22, SU 22</t>
  </si>
  <si>
    <t>Westlaw Passwords</t>
  </si>
  <si>
    <t>ABA certification requires legal research classes, which are offered through only two courses. Seat numbers are limited. Increasing the seats will allow us to assign and use Westlaw in other classes and provide more opportunity for training with skills used and needed on the job -- the amount listed represents the increase over the current allotment</t>
  </si>
  <si>
    <t>ALL QUARTERS</t>
  </si>
  <si>
    <t>Professional Development</t>
  </si>
  <si>
    <t>Conference Trainings</t>
  </si>
  <si>
    <t>Professional Training for Faculty/administrators to advance CTE equity teaching practices</t>
  </si>
  <si>
    <t>1 YR</t>
  </si>
  <si>
    <t>TEA &amp; Mentors</t>
  </si>
  <si>
    <t>Professionals providing presentations in the classroom regarding their expertise</t>
  </si>
  <si>
    <t>N/a</t>
  </si>
  <si>
    <t>CD&amp;E</t>
  </si>
  <si>
    <t>ClassroomMaterials</t>
  </si>
  <si>
    <t>Materials to provide students during each quarter. Children's books/toys/and resources needed for various CDE classes.</t>
  </si>
  <si>
    <t xml:space="preserve">Because we are online, this will allow students to pick up care packages via drive thru in order to have supplies to be used for courses which requires these items. Majority of CDE students using these supplies will save hundreds of dollars during the pandemic. </t>
  </si>
  <si>
    <t>REPL</t>
  </si>
  <si>
    <t>WI 22, SP22,SU22</t>
  </si>
  <si>
    <t>ADMJ</t>
  </si>
  <si>
    <t>Training for FAA Drone Pilot License</t>
  </si>
  <si>
    <t>Same justification as listed for drone funding. Two reqeusted to have 2 instructors for safety and training enhancement in ADMJ 61 (Criminal Investigation) and 84 (Forensic Science) courses.</t>
  </si>
  <si>
    <t>10YRS</t>
  </si>
  <si>
    <t>Crime Lite Kit - Comprehensive with battery and case, lens, and googles for studens</t>
  </si>
  <si>
    <t xml:space="preserve">This equipment will be used for the crime lab  as an additional simulation equipment. </t>
  </si>
  <si>
    <t>10 YEARS</t>
  </si>
  <si>
    <t>Dell 55 Interactive Touch Monitor-C5518QT</t>
  </si>
  <si>
    <t>Crime-Lite Full Spectral Light Source to used in the location of crime scene bodily fluid evidence (blood, salvia, etc).  This will add value to students learning since it will be used for simulation purposes.</t>
  </si>
  <si>
    <t>5 YRS</t>
  </si>
  <si>
    <t>PSYC</t>
  </si>
  <si>
    <t>Highly Critical</t>
  </si>
  <si>
    <t xml:space="preserve">Refresh of PSYC Lab Laptops </t>
  </si>
  <si>
    <t>Used for class assignments by students enrolled in Psychology 2, who don't have their own laptop. In the past, it has been determined that a number of students does not own their own laptop, we would like to replace these old laptops in order to provide effective teaching and learning in the classroom/labs.</t>
  </si>
  <si>
    <t>HUM</t>
  </si>
  <si>
    <t>Students and Faculty Moving Wall for Project Displays</t>
  </si>
  <si>
    <t>Used for Humanities Students and other Faculty to showcase work and other projects</t>
  </si>
  <si>
    <t>ANTH</t>
  </si>
  <si>
    <t>Supplemental Instructor (Student Tutors)</t>
  </si>
  <si>
    <t>Student Tutor for Peer Assisted Leader Program</t>
  </si>
  <si>
    <t xml:space="preserve">The Peer Assisted Learning program was developed with different academic support models in mind such as the Embedded Tutor, Supplemental Instruction model, and the peer tutor caseload. It is currently being piloted in the Social Science and Humanities Division. Based on research, courses that have low success rates are selected to ensure students have all the tools necessary to be successful and to close the equity gaps.  The peer tutoring model was selected to address this concern.   Anecdotally, students have reported that they respond better to their peers versus their instructors. In the past, the SSH department has implemented similar programs in various ways that have shown to be successful. </t>
  </si>
  <si>
    <t>ALL YEAR 2022-2023</t>
  </si>
  <si>
    <t>POL</t>
  </si>
  <si>
    <t>ECO</t>
  </si>
  <si>
    <t>HIS</t>
  </si>
  <si>
    <t>REVISED AS OF JAN 2023.</t>
  </si>
  <si>
    <t>Fund</t>
  </si>
  <si>
    <t>Fund Description</t>
  </si>
  <si>
    <t>Expenditure Period</t>
  </si>
  <si>
    <t>Allocation</t>
  </si>
  <si>
    <t>Expenditure</t>
  </si>
  <si>
    <t>RJV - Regional Projects</t>
  </si>
  <si>
    <t>Balance</t>
  </si>
  <si>
    <t>SWP - Local - Round 1 (16/17)</t>
  </si>
  <si>
    <t>7/1/16-12/31/2018</t>
  </si>
  <si>
    <t>SWP - Regional - Round 1 (16/17)</t>
  </si>
  <si>
    <t>SWP - Local - Round 2 (17/18)</t>
  </si>
  <si>
    <t>7/1/17-12/31/2019</t>
  </si>
  <si>
    <t>SWP - Regional - Round 2 (17/18)</t>
  </si>
  <si>
    <t>SWP - Local - Round 3 (18/19)</t>
  </si>
  <si>
    <t>7/1/18-12/31/2020</t>
  </si>
  <si>
    <t>SWP - Regional - Round 3 (18/19)</t>
  </si>
  <si>
    <t>SWP - Local - Round 4 (19/20)</t>
  </si>
  <si>
    <t>7/1/19-12/31/2021</t>
  </si>
  <si>
    <t>SWP - Regional - Round 4</t>
  </si>
  <si>
    <t>SWP Local Round 1-4</t>
  </si>
  <si>
    <t>SWP Regional Round 1-4</t>
  </si>
  <si>
    <t>SWP- Local - Round 5 (20/21) Yr 5</t>
  </si>
  <si>
    <t>7/1/20 - 6/30/2022</t>
  </si>
  <si>
    <t xml:space="preserve">SWP- Regional - Round 5 </t>
  </si>
  <si>
    <t>Final Report Submitted as of 12/30/2022</t>
  </si>
  <si>
    <t>Perkins 2022-2023</t>
  </si>
  <si>
    <t>7/1/2022 - 6/30/2023</t>
  </si>
  <si>
    <t>Final Report Due on 7/15/2023</t>
  </si>
  <si>
    <t>SWP - Local Round 6 (2021-22)</t>
  </si>
  <si>
    <t>7/1/21 - 12/31/2023</t>
  </si>
  <si>
    <t>SWP - Regional Round 6 (2021 -22)</t>
  </si>
  <si>
    <t>Final Report Due on 2/15/2024</t>
  </si>
  <si>
    <t>Perkins 2023-2024</t>
  </si>
  <si>
    <t>7/1/2023 - 6/30/2024</t>
  </si>
  <si>
    <t>SWP - Local Round 7</t>
  </si>
  <si>
    <t>7/1/22 - 6/30/2024</t>
  </si>
  <si>
    <t>SWP - Regional Round 7</t>
  </si>
  <si>
    <t>SWP - Local Round 8</t>
  </si>
  <si>
    <t>7/1/23 - 6/30/2025</t>
  </si>
  <si>
    <t>SWP - Regional Round 8</t>
  </si>
  <si>
    <t>135056 - SWP Local  - Round 6</t>
  </si>
  <si>
    <t>Budget Allocated</t>
  </si>
  <si>
    <t>Expense 2022</t>
  </si>
  <si>
    <t>Expense 2023</t>
  </si>
  <si>
    <t xml:space="preserve">Encumbrance </t>
  </si>
  <si>
    <t>Salary projection</t>
  </si>
  <si>
    <t>Monthly Salary</t>
  </si>
  <si>
    <t>Nursing - Local</t>
  </si>
  <si>
    <t>Health tech - Local</t>
  </si>
  <si>
    <t>CTE - Local</t>
  </si>
  <si>
    <t>Outreach - Region</t>
  </si>
  <si>
    <t>CTE Admin - Reg</t>
  </si>
  <si>
    <t>Current Expense</t>
  </si>
  <si>
    <t>Current Balance</t>
  </si>
  <si>
    <t>Projected Salaries</t>
  </si>
  <si>
    <t>Expected Balance</t>
  </si>
  <si>
    <t>135060 - SWP Regional - Round 6</t>
  </si>
  <si>
    <t>135072- Perkins 2022/2023</t>
  </si>
  <si>
    <t xml:space="preserve">End Date : </t>
  </si>
  <si>
    <t>Perkins Salary Projections</t>
  </si>
  <si>
    <t>Business Admin</t>
  </si>
  <si>
    <t>OTI</t>
  </si>
  <si>
    <t>Environmental</t>
  </si>
  <si>
    <t>F/TV</t>
  </si>
  <si>
    <t>Child Development</t>
  </si>
  <si>
    <t>Paralegal</t>
  </si>
  <si>
    <t>5% Admin</t>
  </si>
  <si>
    <t>Program Name</t>
  </si>
  <si>
    <t>INDEX</t>
  </si>
  <si>
    <t>SWP REGIONAL - R7</t>
  </si>
  <si>
    <t>Organization</t>
  </si>
  <si>
    <t>FUND TBD</t>
  </si>
  <si>
    <t>Program (TOP/ASA Code)</t>
  </si>
  <si>
    <t>094800</t>
  </si>
  <si>
    <t>095300</t>
  </si>
  <si>
    <t>095600</t>
  </si>
  <si>
    <t>123000</t>
  </si>
  <si>
    <t>709000</t>
  </si>
  <si>
    <t>Preliminary Budget</t>
  </si>
  <si>
    <t>ACCT CODE</t>
  </si>
  <si>
    <t>EXPENDITURE ACCT</t>
  </si>
  <si>
    <t>Instructional Salaries</t>
  </si>
  <si>
    <t>Non-instructional Salaries</t>
  </si>
  <si>
    <t>Employee Benefits</t>
  </si>
  <si>
    <t>Supplies &amp; Materials</t>
  </si>
  <si>
    <t>Other Operating Exp. &amp; Svcs.</t>
  </si>
  <si>
    <t>Capital Outlay</t>
  </si>
  <si>
    <t>Indirect Admin</t>
  </si>
  <si>
    <t xml:space="preserve">Budget by Program </t>
  </si>
  <si>
    <t>SWP Regional R7 Allocation</t>
  </si>
  <si>
    <t>SWP LOCAL - R4</t>
  </si>
  <si>
    <t>FUND 135044</t>
  </si>
  <si>
    <t>Projected Budget</t>
  </si>
  <si>
    <t>Total Budget</t>
  </si>
  <si>
    <t>Env. Res Mgmt.</t>
  </si>
  <si>
    <t>Energy Mgmt.</t>
  </si>
  <si>
    <t>Film/TV Prod.</t>
  </si>
  <si>
    <t>CIS: Program.</t>
  </si>
  <si>
    <t>Graphic Des</t>
  </si>
  <si>
    <t>030300</t>
  </si>
  <si>
    <t>094610</t>
  </si>
  <si>
    <t>060420</t>
  </si>
  <si>
    <t>061440</t>
  </si>
  <si>
    <t>070710</t>
  </si>
  <si>
    <t>101200</t>
  </si>
  <si>
    <t>103000</t>
  </si>
  <si>
    <t>120500</t>
  </si>
  <si>
    <t>SWP Local R7 Preliminary Budgets</t>
  </si>
  <si>
    <t>Bus./Marketing</t>
  </si>
  <si>
    <t>Mand. Interp.</t>
  </si>
  <si>
    <t>CTE Career Dev</t>
  </si>
  <si>
    <t>SWP LOCAL - R7</t>
  </si>
  <si>
    <t>120800</t>
  </si>
  <si>
    <t>050500</t>
  </si>
  <si>
    <t>051100</t>
  </si>
  <si>
    <t>140200</t>
  </si>
  <si>
    <t>210500</t>
  </si>
  <si>
    <t>214000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</si>
</sst>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_-;\-&quot;$&quot;* #,##0.00_-;_-&quot;$&quot;* &quot;-&quot;??_-;_-@_-"/>
    <numFmt numFmtId="165" formatCode="_([$$-409]* #,##0.00_);_([$$-409]* \(#,##0.00\);_([$$-409]* &quot;-&quot;??_);_(@_)"/>
    <numFmt numFmtId="166" formatCode="_-&quot;$&quot;* #,##0_-;\-&quot;$&quot;* #,##0_-;_-&quot;$&quot;* &quot;-&quot;??_-;_-@_-"/>
    <numFmt numFmtId="167" formatCode="&quot;$&quot;#,##0.00"/>
    <numFmt numFmtId="168" formatCode="_(&quot;$&quot;* #,##0_);_(&quot;$&quot;* \(#,##0\);_(&quot;$&quot;* &quot;-&quot;??_);_(@_)"/>
    <numFmt numFmtId="169" formatCode="&quot;$&quot;#,##0"/>
  </numFmts>
  <fonts count="121">
    <font>
      <sz val="12"/>
      <color theme="1"/>
      <name val="Calibri"/>
      <family val="2"/>
      <scheme val="minor"/>
    </font>
    <font>
      <sz val="11"/>
      <color theme="1"/>
      <name val="Calibri"/>
      <family val="2"/>
      <scheme val="minor"/>
    </font>
    <font>
      <sz val="12"/>
      <color theme="1"/>
      <name val="Calibri"/>
      <family val="2"/>
      <scheme val="minor"/>
    </font>
    <font>
      <sz val="9"/>
      <color theme="1"/>
      <name val="Times New Roman"/>
      <family val="1"/>
    </font>
    <font>
      <b/>
      <sz val="9"/>
      <color indexed="8"/>
      <name val="Times New Roman"/>
      <family val="1"/>
    </font>
    <font>
      <b/>
      <u/>
      <sz val="9"/>
      <color indexed="8"/>
      <name val="Times New Roman"/>
      <family val="1"/>
    </font>
    <font>
      <sz val="9"/>
      <color indexed="8"/>
      <name val="Times New Roman"/>
      <family val="1"/>
    </font>
    <font>
      <b/>
      <sz val="9"/>
      <color theme="1"/>
      <name val="Times New Roman"/>
      <family val="1"/>
    </font>
    <font>
      <b/>
      <sz val="9"/>
      <color indexed="10"/>
      <name val="Times New Roman"/>
      <family val="1"/>
    </font>
    <font>
      <b/>
      <sz val="18"/>
      <color theme="1"/>
      <name val="Times New Roman"/>
      <family val="1"/>
    </font>
    <font>
      <b/>
      <sz val="12"/>
      <color theme="1"/>
      <name val="Times New Roman"/>
      <family val="1"/>
    </font>
    <font>
      <b/>
      <sz val="9"/>
      <name val="Times New Roman"/>
      <family val="1"/>
    </font>
    <font>
      <sz val="9"/>
      <name val="Times New Roman"/>
      <family val="1"/>
    </font>
    <font>
      <sz val="9"/>
      <color rgb="FF000000"/>
      <name val="Times New Roman"/>
      <family val="1"/>
    </font>
    <font>
      <sz val="11"/>
      <color theme="1"/>
      <name val="Times New Roman"/>
      <family val="1"/>
    </font>
    <font>
      <sz val="9"/>
      <color rgb="FFFF0000"/>
      <name val="Times New Roman"/>
      <family val="1"/>
    </font>
    <font>
      <b/>
      <sz val="9"/>
      <color rgb="FF000000"/>
      <name val="Verdana"/>
      <family val="2"/>
    </font>
    <font>
      <sz val="10"/>
      <color theme="1"/>
      <name val="Times New Roman"/>
      <family val="1"/>
    </font>
    <font>
      <sz val="10"/>
      <color rgb="FF000000"/>
      <name val="Times New Roman"/>
      <family val="1"/>
    </font>
    <font>
      <b/>
      <sz val="9"/>
      <color rgb="FF000000"/>
      <name val="Times New Roman"/>
      <family val="1"/>
    </font>
    <font>
      <b/>
      <i/>
      <sz val="9"/>
      <color rgb="FF000000"/>
      <name val="Times New Roman"/>
      <family val="1"/>
    </font>
    <font>
      <sz val="12"/>
      <name val="Geneva"/>
    </font>
    <font>
      <sz val="12"/>
      <color indexed="8"/>
      <name val="Calibri"/>
      <family val="2"/>
    </font>
    <font>
      <sz val="10"/>
      <name val="Arial"/>
      <family val="2"/>
    </font>
    <font>
      <sz val="12"/>
      <color indexed="8"/>
      <name val="Verdana"/>
      <family val="2"/>
    </font>
    <font>
      <b/>
      <sz val="10"/>
      <color theme="1"/>
      <name val="Times New Roman"/>
      <family val="1"/>
    </font>
    <font>
      <sz val="9"/>
      <color rgb="FF000000"/>
      <name val="Times New Roman"/>
      <family val="1"/>
      <charset val="1"/>
    </font>
    <font>
      <b/>
      <sz val="9"/>
      <color rgb="FFFF0000"/>
      <name val="Times New Roman"/>
      <family val="1"/>
    </font>
    <font>
      <sz val="9"/>
      <color rgb="FF0070C0"/>
      <name val="Times New Roman"/>
      <family val="1"/>
    </font>
    <font>
      <u/>
      <sz val="9"/>
      <color theme="1"/>
      <name val="Times New Roman"/>
      <family val="1"/>
    </font>
    <font>
      <b/>
      <sz val="11"/>
      <color indexed="8"/>
      <name val="Times New Roman"/>
      <family val="1"/>
    </font>
    <font>
      <b/>
      <u/>
      <sz val="11"/>
      <color indexed="8"/>
      <name val="Times New Roman"/>
      <family val="1"/>
    </font>
    <font>
      <sz val="11"/>
      <color indexed="8"/>
      <name val="Times New Roman"/>
      <family val="1"/>
    </font>
    <font>
      <b/>
      <sz val="11"/>
      <color theme="1"/>
      <name val="Times New Roman"/>
      <family val="1"/>
    </font>
    <font>
      <b/>
      <sz val="11"/>
      <color indexed="10"/>
      <name val="Times New Roman"/>
      <family val="1"/>
    </font>
    <font>
      <b/>
      <sz val="11"/>
      <name val="Times New Roman"/>
      <family val="1"/>
    </font>
    <font>
      <sz val="11"/>
      <name val="Times New Roman"/>
      <family val="1"/>
    </font>
    <font>
      <sz val="11"/>
      <color rgb="FF000000"/>
      <name val="Times New Roman"/>
      <family val="1"/>
    </font>
    <font>
      <sz val="11"/>
      <color rgb="FF000000"/>
      <name val="Calibri"/>
      <family val="2"/>
      <scheme val="minor"/>
    </font>
    <font>
      <b/>
      <sz val="12"/>
      <color theme="1"/>
      <name val="Calibri"/>
      <family val="2"/>
      <scheme val="minor"/>
    </font>
    <font>
      <sz val="10"/>
      <color theme="1"/>
      <name val="Arial"/>
      <family val="2"/>
    </font>
    <font>
      <b/>
      <sz val="10"/>
      <color theme="1"/>
      <name val="Arial"/>
      <family val="2"/>
    </font>
    <font>
      <sz val="10"/>
      <color rgb="FF000000"/>
      <name val="Arial"/>
      <family val="2"/>
    </font>
    <font>
      <b/>
      <sz val="10"/>
      <color theme="7" tint="-0.499984740745262"/>
      <name val="Arial"/>
      <family val="2"/>
    </font>
    <font>
      <sz val="11"/>
      <color rgb="FF000000"/>
      <name val="Calibri"/>
      <family val="2"/>
    </font>
    <font>
      <b/>
      <sz val="10"/>
      <color rgb="FF000000"/>
      <name val="Arial"/>
      <family val="2"/>
    </font>
    <font>
      <sz val="12"/>
      <color theme="1"/>
      <name val="Arial"/>
      <family val="2"/>
    </font>
    <font>
      <sz val="9"/>
      <color theme="1"/>
      <name val="Arial"/>
      <family val="2"/>
    </font>
    <font>
      <b/>
      <sz val="11"/>
      <color rgb="FF000000"/>
      <name val="Calibri"/>
      <family val="2"/>
      <scheme val="minor"/>
    </font>
    <font>
      <sz val="9"/>
      <color theme="1"/>
      <name val="Calibri"/>
      <family val="2"/>
      <scheme val="minor"/>
    </font>
    <font>
      <b/>
      <sz val="12"/>
      <name val="Calibri"/>
      <family val="2"/>
    </font>
    <font>
      <sz val="12"/>
      <name val="Calibri"/>
      <family val="2"/>
    </font>
    <font>
      <sz val="12"/>
      <color theme="1"/>
      <name val="Times New Roman"/>
      <family val="1"/>
    </font>
    <font>
      <sz val="12"/>
      <color rgb="FF00B050"/>
      <name val="Times New Roman"/>
      <family val="1"/>
    </font>
    <font>
      <sz val="12"/>
      <color rgb="FF000000"/>
      <name val="Times New Roman"/>
      <family val="1"/>
    </font>
    <font>
      <sz val="12"/>
      <name val="Times New Roman"/>
      <family val="1"/>
    </font>
    <font>
      <b/>
      <sz val="12"/>
      <color theme="1"/>
      <name val="Calibri"/>
      <family val="2"/>
    </font>
    <font>
      <sz val="12"/>
      <color theme="1"/>
      <name val="Calibri"/>
      <family val="2"/>
    </font>
    <font>
      <sz val="12"/>
      <color rgb="FF000000"/>
      <name val="Calibri"/>
      <family val="2"/>
    </font>
    <font>
      <sz val="12"/>
      <color rgb="FF000000"/>
      <name val="Calibri"/>
      <family val="2"/>
      <scheme val="minor"/>
    </font>
    <font>
      <sz val="12"/>
      <name val="Calibri"/>
      <family val="2"/>
      <scheme val="minor"/>
    </font>
    <font>
      <b/>
      <sz val="12"/>
      <color indexed="8"/>
      <name val="Times New Roman"/>
      <family val="1"/>
    </font>
    <font>
      <sz val="12"/>
      <color indexed="8"/>
      <name val="Times New Roman"/>
      <family val="1"/>
    </font>
    <font>
      <b/>
      <sz val="12"/>
      <name val="Calibri"/>
      <family val="2"/>
      <scheme val="minor"/>
    </font>
    <font>
      <b/>
      <sz val="9"/>
      <color rgb="FF000000"/>
      <name val="Geneva"/>
      <family val="2"/>
    </font>
    <font>
      <b/>
      <sz val="12"/>
      <color rgb="FF000000"/>
      <name val="Calibri"/>
      <family val="2"/>
      <scheme val="minor"/>
    </font>
    <font>
      <b/>
      <sz val="9"/>
      <name val="Geneva"/>
      <family val="2"/>
    </font>
    <font>
      <b/>
      <sz val="9"/>
      <name val="Arial"/>
      <family val="2"/>
    </font>
    <font>
      <b/>
      <sz val="12"/>
      <color rgb="FF000000"/>
      <name val="Geneva"/>
      <family val="2"/>
    </font>
    <font>
      <b/>
      <sz val="11"/>
      <color theme="1"/>
      <name val="Calibri"/>
      <family val="2"/>
      <scheme val="minor"/>
    </font>
    <font>
      <sz val="10"/>
      <color rgb="FFFF0000"/>
      <name val="Arial"/>
      <family val="2"/>
    </font>
    <font>
      <sz val="11"/>
      <color rgb="FF444444"/>
      <name val="Calibri"/>
      <family val="2"/>
      <charset val="1"/>
      <scheme val="minor"/>
    </font>
    <font>
      <sz val="11"/>
      <color rgb="FFFF0000"/>
      <name val="Calibri"/>
      <family val="2"/>
      <scheme val="minor"/>
    </font>
    <font>
      <i/>
      <sz val="9"/>
      <name val="Geneva"/>
      <family val="2"/>
    </font>
    <font>
      <b/>
      <i/>
      <sz val="9"/>
      <name val="Geneva"/>
      <family val="2"/>
    </font>
    <font>
      <b/>
      <i/>
      <sz val="11"/>
      <name val="Geneva"/>
      <family val="2"/>
    </font>
    <font>
      <b/>
      <sz val="11"/>
      <name val="Geneva"/>
      <family val="2"/>
    </font>
    <font>
      <b/>
      <sz val="12"/>
      <name val="Geneva"/>
      <family val="2"/>
    </font>
    <font>
      <b/>
      <i/>
      <sz val="10"/>
      <name val="Geneva"/>
      <family val="2"/>
    </font>
    <font>
      <b/>
      <sz val="10"/>
      <name val="Geneva"/>
      <family val="2"/>
    </font>
    <font>
      <b/>
      <sz val="14"/>
      <name val="Geneva"/>
      <family val="2"/>
    </font>
    <font>
      <b/>
      <i/>
      <sz val="12"/>
      <name val="Geneva"/>
      <family val="2"/>
    </font>
    <font>
      <sz val="9"/>
      <name val="Geneva"/>
      <family val="2"/>
    </font>
    <font>
      <b/>
      <sz val="12"/>
      <name val="Arial"/>
      <family val="2"/>
    </font>
    <font>
      <b/>
      <i/>
      <sz val="10"/>
      <name val="Arial"/>
      <family val="2"/>
    </font>
    <font>
      <b/>
      <i/>
      <u/>
      <sz val="10"/>
      <color rgb="FF0070C0"/>
      <name val="Arial"/>
      <family val="2"/>
    </font>
    <font>
      <b/>
      <i/>
      <u/>
      <sz val="10"/>
      <color theme="4"/>
      <name val="Arial"/>
      <family val="2"/>
    </font>
    <font>
      <b/>
      <u/>
      <sz val="10"/>
      <color theme="4"/>
      <name val="Arial"/>
      <family val="2"/>
    </font>
    <font>
      <b/>
      <sz val="9"/>
      <color theme="4"/>
      <name val="Geneva"/>
      <family val="2"/>
    </font>
    <font>
      <b/>
      <u/>
      <sz val="9"/>
      <color theme="4"/>
      <name val="Geneva"/>
      <family val="2"/>
    </font>
    <font>
      <b/>
      <sz val="11"/>
      <color theme="4"/>
      <name val="Geneva"/>
      <family val="2"/>
    </font>
    <font>
      <b/>
      <u/>
      <sz val="11"/>
      <color theme="4"/>
      <name val="Geneva"/>
      <family val="2"/>
    </font>
    <font>
      <b/>
      <sz val="10"/>
      <color theme="4"/>
      <name val="Geneva"/>
      <family val="2"/>
    </font>
    <font>
      <b/>
      <u/>
      <sz val="10"/>
      <color theme="4"/>
      <name val="Geneva"/>
      <family val="2"/>
    </font>
    <font>
      <b/>
      <i/>
      <sz val="9"/>
      <color theme="4"/>
      <name val="Geneva"/>
      <family val="2"/>
    </font>
    <font>
      <b/>
      <i/>
      <u/>
      <sz val="9"/>
      <color theme="4"/>
      <name val="Geneva"/>
      <family val="2"/>
    </font>
    <font>
      <b/>
      <sz val="10"/>
      <color theme="4"/>
      <name val="Arial"/>
      <family val="2"/>
    </font>
    <font>
      <b/>
      <i/>
      <sz val="10"/>
      <color theme="4"/>
      <name val="Arial"/>
      <family val="2"/>
    </font>
    <font>
      <b/>
      <sz val="10"/>
      <name val="Arial"/>
      <family val="2"/>
    </font>
    <font>
      <b/>
      <i/>
      <u/>
      <sz val="10"/>
      <color indexed="10"/>
      <name val="Arial"/>
      <family val="2"/>
    </font>
    <font>
      <b/>
      <i/>
      <u/>
      <sz val="10"/>
      <color rgb="FF4472C4"/>
      <name val="Arial"/>
      <family val="2"/>
    </font>
    <font>
      <sz val="12"/>
      <color rgb="FF0432FF"/>
      <name val="Times New Roman"/>
      <family val="1"/>
    </font>
    <font>
      <b/>
      <sz val="9"/>
      <color rgb="FF0432FF"/>
      <name val="Times New Roman"/>
      <family val="1"/>
    </font>
    <font>
      <sz val="9"/>
      <color rgb="FF0432FF"/>
      <name val="Times New Roman"/>
      <family val="1"/>
    </font>
    <font>
      <sz val="9"/>
      <color rgb="FFFF0000"/>
      <name val="Calibri"/>
      <family val="2"/>
    </font>
    <font>
      <sz val="10"/>
      <color rgb="FF0432FF"/>
      <name val="Times New Roman"/>
      <family val="1"/>
    </font>
    <font>
      <sz val="9"/>
      <color rgb="FF000000"/>
      <name val="Calibri"/>
      <family val="2"/>
      <scheme val="minor"/>
    </font>
    <font>
      <sz val="9"/>
      <color theme="1"/>
      <name val="Calibri (Body)"/>
    </font>
    <font>
      <sz val="9"/>
      <name val="Calibri"/>
      <family val="2"/>
    </font>
    <font>
      <sz val="9"/>
      <color theme="1"/>
      <name val="Calibri"/>
      <family val="2"/>
    </font>
    <font>
      <sz val="10"/>
      <name val="Times New Roman"/>
      <family val="1"/>
    </font>
    <font>
      <sz val="9"/>
      <color rgb="FF000000"/>
      <name val="Calibri"/>
      <family val="2"/>
    </font>
    <font>
      <sz val="9"/>
      <name val="Calibri"/>
      <family val="2"/>
      <scheme val="minor"/>
    </font>
    <font>
      <b/>
      <sz val="12"/>
      <color rgb="FF0432FF"/>
      <name val="Times New Roman"/>
      <family val="1"/>
    </font>
    <font>
      <b/>
      <sz val="12"/>
      <color theme="1"/>
      <name val="Arial"/>
      <family val="2"/>
    </font>
    <font>
      <sz val="12"/>
      <color rgb="FF000000"/>
      <name val="Arial"/>
      <family val="2"/>
    </font>
    <font>
      <sz val="12"/>
      <name val="Arial"/>
      <family val="2"/>
    </font>
    <font>
      <sz val="11"/>
      <color theme="1"/>
      <name val="Arial"/>
      <family val="2"/>
    </font>
    <font>
      <b/>
      <sz val="11"/>
      <color theme="1"/>
      <name val="Arial"/>
      <family val="2"/>
    </font>
    <font>
      <sz val="11"/>
      <color rgb="FF000000"/>
      <name val="Arial"/>
      <family val="2"/>
    </font>
    <font>
      <sz val="11"/>
      <name val="Arial"/>
      <family val="2"/>
    </font>
  </fonts>
  <fills count="30">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3366FF"/>
        <bgColor rgb="FF000000"/>
      </patternFill>
    </fill>
    <fill>
      <patternFill patternType="solid">
        <fgColor theme="0" tint="-0.249977111117893"/>
        <bgColor indexed="64"/>
      </patternFill>
    </fill>
    <fill>
      <patternFill patternType="solid">
        <fgColor rgb="FF46BDC6"/>
        <bgColor rgb="FF000000"/>
      </patternFill>
    </fill>
    <fill>
      <patternFill patternType="solid">
        <fgColor rgb="FFD9D9D9"/>
        <bgColor rgb="FF000000"/>
      </patternFill>
    </fill>
    <fill>
      <patternFill patternType="solid">
        <fgColor theme="6" tint="-0.249977111117893"/>
        <bgColor indexed="64"/>
      </patternFill>
    </fill>
    <fill>
      <patternFill patternType="solid">
        <fgColor indexed="48"/>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00B050"/>
        <bgColor rgb="FF000000"/>
      </patternFill>
    </fill>
    <fill>
      <patternFill patternType="solid">
        <fgColor rgb="FFD6DCE4"/>
        <bgColor rgb="FF000000"/>
      </patternFill>
    </fill>
    <fill>
      <patternFill patternType="solid">
        <fgColor rgb="FFD0CECE"/>
        <bgColor indexed="64"/>
      </patternFill>
    </fill>
  </fills>
  <borders count="53">
    <border>
      <left/>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auto="1"/>
      </right>
      <top/>
      <bottom/>
      <diagonal/>
    </border>
    <border>
      <left/>
      <right style="thin">
        <color auto="1"/>
      </right>
      <top style="thin">
        <color auto="1"/>
      </top>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bottom/>
      <diagonal/>
    </border>
    <border>
      <left style="thin">
        <color indexed="64"/>
      </left>
      <right/>
      <top style="medium">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s>
  <cellStyleXfs count="23">
    <xf numFmtId="0" fontId="0"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0" fontId="1" fillId="0" borderId="0"/>
    <xf numFmtId="0" fontId="24" fillId="0" borderId="0" applyNumberFormat="0" applyFill="0" applyBorder="0" applyProtection="0">
      <alignment vertical="top" wrapText="1"/>
    </xf>
    <xf numFmtId="0" fontId="1" fillId="0" borderId="0"/>
    <xf numFmtId="0" fontId="23" fillId="0" borderId="0"/>
    <xf numFmtId="0" fontId="2" fillId="0" borderId="0"/>
    <xf numFmtId="0" fontId="21" fillId="0" borderId="0"/>
    <xf numFmtId="0" fontId="1" fillId="0" borderId="0"/>
  </cellStyleXfs>
  <cellXfs count="779">
    <xf numFmtId="0" fontId="0" fillId="0" borderId="0" xfId="0"/>
    <xf numFmtId="0" fontId="3" fillId="0" borderId="0" xfId="0" applyFont="1" applyAlignment="1">
      <alignment vertical="center"/>
    </xf>
    <xf numFmtId="0" fontId="3" fillId="0" borderId="0" xfId="0" applyFont="1" applyAlignment="1">
      <alignment horizontal="center" vertical="center"/>
    </xf>
    <xf numFmtId="164" fontId="3" fillId="0" borderId="0" xfId="1" applyFont="1" applyAlignment="1">
      <alignment vertical="center"/>
    </xf>
    <xf numFmtId="0" fontId="3" fillId="0" borderId="0" xfId="0" applyFont="1" applyAlignment="1">
      <alignment vertical="center" wrapText="1"/>
    </xf>
    <xf numFmtId="0" fontId="0" fillId="0" borderId="0" xfId="0" applyAlignment="1">
      <alignment vertical="center"/>
    </xf>
    <xf numFmtId="164" fontId="10" fillId="3" borderId="4" xfId="1" applyFont="1" applyFill="1" applyBorder="1" applyAlignment="1">
      <alignment horizontal="center" vertical="center" wrapText="1"/>
    </xf>
    <xf numFmtId="0" fontId="7"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164" fontId="7" fillId="5" borderId="3" xfId="1" applyFont="1" applyFill="1" applyBorder="1" applyAlignment="1">
      <alignment vertical="center"/>
    </xf>
    <xf numFmtId="0" fontId="7" fillId="4" borderId="3" xfId="0" applyFont="1" applyFill="1" applyBorder="1" applyAlignment="1">
      <alignment horizontal="center" vertical="center" wrapText="1"/>
    </xf>
    <xf numFmtId="164" fontId="7" fillId="4" borderId="6" xfId="1" applyFont="1" applyFill="1" applyBorder="1" applyAlignment="1">
      <alignment horizontal="center" vertical="center" wrapText="1"/>
    </xf>
    <xf numFmtId="0" fontId="3" fillId="0" borderId="3" xfId="0" applyFont="1" applyBorder="1" applyAlignment="1">
      <alignment vertical="center" wrapText="1"/>
    </xf>
    <xf numFmtId="0" fontId="14" fillId="0" borderId="0" xfId="0" applyFont="1" applyAlignment="1">
      <alignment vertical="center"/>
    </xf>
    <xf numFmtId="0" fontId="13" fillId="6" borderId="3" xfId="0" applyFont="1" applyFill="1" applyBorder="1" applyAlignment="1">
      <alignment horizontal="left" vertical="center" wrapText="1"/>
    </xf>
    <xf numFmtId="0" fontId="3" fillId="4" borderId="3" xfId="0" applyFont="1" applyFill="1" applyBorder="1" applyAlignment="1">
      <alignment horizontal="center" vertical="center"/>
    </xf>
    <xf numFmtId="164" fontId="3" fillId="4" borderId="3" xfId="0" applyNumberFormat="1" applyFont="1" applyFill="1" applyBorder="1" applyAlignment="1">
      <alignment horizontal="center" vertical="center"/>
    </xf>
    <xf numFmtId="164" fontId="3" fillId="4" borderId="3" xfId="1" applyFont="1" applyFill="1" applyBorder="1" applyAlignment="1">
      <alignment vertical="center"/>
    </xf>
    <xf numFmtId="164" fontId="3" fillId="4" borderId="3" xfId="1"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3" fillId="0" borderId="3" xfId="2"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3" fillId="0" borderId="3" xfId="0" applyFont="1" applyBorder="1" applyAlignment="1">
      <alignment horizontal="center" vertical="center"/>
    </xf>
    <xf numFmtId="164" fontId="3" fillId="0" borderId="3" xfId="3" applyFont="1" applyFill="1" applyBorder="1" applyAlignment="1">
      <alignment vertical="center" wrapText="1"/>
    </xf>
    <xf numFmtId="164" fontId="3" fillId="0" borderId="3" xfId="1" applyFont="1" applyBorder="1" applyAlignment="1">
      <alignment vertical="center"/>
    </xf>
    <xf numFmtId="164" fontId="3" fillId="0" borderId="3" xfId="1" applyFont="1" applyFill="1" applyBorder="1" applyAlignment="1">
      <alignment vertical="center"/>
    </xf>
    <xf numFmtId="164" fontId="7" fillId="0" borderId="3" xfId="0" applyNumberFormat="1" applyFont="1" applyBorder="1" applyAlignment="1">
      <alignment vertical="center"/>
    </xf>
    <xf numFmtId="0" fontId="11" fillId="0" borderId="3" xfId="0" applyFont="1" applyBorder="1" applyAlignment="1">
      <alignment horizontal="left" vertical="center" wrapText="1"/>
    </xf>
    <xf numFmtId="0" fontId="12" fillId="0" borderId="3" xfId="0" applyFont="1" applyBorder="1" applyAlignment="1">
      <alignment horizontal="center" vertical="center" wrapText="1"/>
    </xf>
    <xf numFmtId="164" fontId="3" fillId="0" borderId="3" xfId="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7" fillId="0" borderId="3" xfId="0" applyFont="1" applyBorder="1" applyAlignment="1">
      <alignment vertical="center" wrapText="1"/>
    </xf>
    <xf numFmtId="0" fontId="3" fillId="4" borderId="3" xfId="0" applyFont="1" applyFill="1" applyBorder="1" applyAlignment="1">
      <alignment horizontal="center" vertical="center" wrapText="1"/>
    </xf>
    <xf numFmtId="0" fontId="3" fillId="0" borderId="3" xfId="0" applyFont="1" applyBorder="1" applyAlignment="1">
      <alignment vertical="center"/>
    </xf>
    <xf numFmtId="164" fontId="3" fillId="0" borderId="3" xfId="0" applyNumberFormat="1" applyFont="1" applyBorder="1" applyAlignment="1">
      <alignment vertical="center"/>
    </xf>
    <xf numFmtId="164" fontId="3" fillId="0" borderId="3" xfId="1" applyFont="1" applyBorder="1" applyAlignment="1">
      <alignment horizontal="center" vertical="center" wrapText="1"/>
    </xf>
    <xf numFmtId="0" fontId="3" fillId="0" borderId="3" xfId="2" applyFont="1" applyBorder="1" applyAlignment="1">
      <alignment horizontal="center" vertical="center" wrapText="1"/>
    </xf>
    <xf numFmtId="0" fontId="12" fillId="0" borderId="3" xfId="2" applyFont="1" applyBorder="1" applyAlignment="1">
      <alignment horizontal="left" vertical="center" wrapText="1"/>
    </xf>
    <xf numFmtId="0" fontId="3" fillId="0" borderId="3" xfId="2" applyFont="1" applyBorder="1" applyAlignment="1">
      <alignment horizontal="center" vertical="center"/>
    </xf>
    <xf numFmtId="164" fontId="3" fillId="0" borderId="3" xfId="3" applyFont="1" applyFill="1" applyBorder="1" applyAlignment="1">
      <alignment vertical="center"/>
    </xf>
    <xf numFmtId="0" fontId="17" fillId="0" borderId="0" xfId="0" applyFont="1" applyAlignment="1">
      <alignment vertical="center"/>
    </xf>
    <xf numFmtId="0" fontId="15" fillId="0" borderId="3" xfId="0" applyFont="1" applyBorder="1" applyAlignment="1">
      <alignment vertical="center" wrapText="1"/>
    </xf>
    <xf numFmtId="0" fontId="15" fillId="0" borderId="3" xfId="2" applyFont="1" applyBorder="1" applyAlignment="1">
      <alignment horizontal="left" vertical="center" wrapText="1"/>
    </xf>
    <xf numFmtId="164" fontId="3" fillId="0" borderId="3" xfId="3" applyFont="1" applyFill="1" applyBorder="1" applyAlignment="1" applyProtection="1">
      <alignment vertical="center"/>
    </xf>
    <xf numFmtId="164" fontId="3" fillId="0" borderId="3" xfId="0" applyNumberFormat="1" applyFont="1" applyBorder="1" applyAlignment="1">
      <alignment horizontal="center" vertical="center"/>
    </xf>
    <xf numFmtId="0" fontId="13" fillId="0" borderId="3" xfId="0" applyFont="1" applyBorder="1" applyAlignment="1">
      <alignment horizontal="left" vertical="top" wrapText="1"/>
    </xf>
    <xf numFmtId="164" fontId="3" fillId="0" borderId="3" xfId="1" applyFont="1" applyFill="1" applyBorder="1" applyAlignment="1">
      <alignment vertical="center" wrapText="1"/>
    </xf>
    <xf numFmtId="0" fontId="12" fillId="6" borderId="3" xfId="0" applyFont="1" applyFill="1" applyBorder="1" applyAlignment="1">
      <alignment horizontal="center" vertical="center" wrapText="1"/>
    </xf>
    <xf numFmtId="164" fontId="3" fillId="0" borderId="3" xfId="1" applyFont="1" applyBorder="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164" fontId="14" fillId="0" borderId="0" xfId="1" applyFont="1" applyAlignment="1">
      <alignment vertical="center"/>
    </xf>
    <xf numFmtId="0" fontId="14" fillId="0" borderId="0" xfId="0" applyFont="1" applyAlignment="1">
      <alignment vertical="center" wrapText="1"/>
    </xf>
    <xf numFmtId="0" fontId="17" fillId="0" borderId="3" xfId="0" applyFont="1" applyBorder="1" applyAlignment="1">
      <alignment horizontal="center" vertical="center" wrapText="1"/>
    </xf>
    <xf numFmtId="0" fontId="25" fillId="0" borderId="3"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vertical="center"/>
    </xf>
    <xf numFmtId="164" fontId="17" fillId="0" borderId="1" xfId="1" applyFont="1" applyBorder="1" applyAlignment="1">
      <alignment vertical="center"/>
    </xf>
    <xf numFmtId="0" fontId="14" fillId="0" borderId="3" xfId="0" applyFont="1" applyBorder="1" applyAlignment="1">
      <alignment vertical="center"/>
    </xf>
    <xf numFmtId="0" fontId="26" fillId="0" borderId="3" xfId="0" applyFont="1" applyBorder="1" applyAlignment="1">
      <alignment wrapText="1"/>
    </xf>
    <xf numFmtId="0" fontId="16" fillId="0" borderId="0" xfId="0" applyFont="1"/>
    <xf numFmtId="164" fontId="3" fillId="0" borderId="3" xfId="3" applyFont="1" applyBorder="1" applyAlignment="1">
      <alignment vertical="center" wrapText="1"/>
    </xf>
    <xf numFmtId="0" fontId="13" fillId="0" borderId="3" xfId="2" applyFont="1" applyBorder="1" applyAlignment="1">
      <alignment horizontal="center" vertical="center" wrapText="1"/>
    </xf>
    <xf numFmtId="0" fontId="19" fillId="0" borderId="3" xfId="0" applyFont="1" applyBorder="1" applyAlignment="1">
      <alignment horizontal="left" vertical="center" wrapText="1"/>
    </xf>
    <xf numFmtId="0" fontId="3" fillId="0" borderId="3" xfId="3" applyNumberFormat="1" applyFont="1" applyFill="1" applyBorder="1" applyAlignment="1">
      <alignment horizontal="center" vertical="center"/>
    </xf>
    <xf numFmtId="0" fontId="3" fillId="0" borderId="3" xfId="3" applyNumberFormat="1" applyFont="1" applyFill="1" applyBorder="1" applyAlignment="1">
      <alignment horizontal="center" vertical="center" wrapText="1"/>
    </xf>
    <xf numFmtId="44" fontId="3" fillId="0" borderId="3" xfId="2" applyNumberFormat="1" applyFont="1" applyBorder="1" applyAlignment="1">
      <alignment horizontal="center" vertical="center" wrapText="1"/>
    </xf>
    <xf numFmtId="0" fontId="3"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0" fontId="3" fillId="7" borderId="0" xfId="0" applyFont="1" applyFill="1" applyAlignment="1">
      <alignment vertical="center" wrapText="1"/>
    </xf>
    <xf numFmtId="0" fontId="13" fillId="7" borderId="0" xfId="2" applyFont="1" applyFill="1" applyAlignment="1">
      <alignment horizontal="left" vertical="center" wrapText="1"/>
    </xf>
    <xf numFmtId="0" fontId="13" fillId="7" borderId="0" xfId="0" applyFont="1" applyFill="1" applyAlignment="1">
      <alignment horizontal="center" vertical="center"/>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164" fontId="3" fillId="7" borderId="0" xfId="3" applyFont="1" applyFill="1" applyBorder="1" applyAlignment="1">
      <alignment vertical="center" wrapText="1"/>
    </xf>
    <xf numFmtId="164" fontId="3" fillId="7" borderId="0" xfId="1" applyFont="1" applyFill="1" applyBorder="1" applyAlignment="1">
      <alignment vertical="center"/>
    </xf>
    <xf numFmtId="164" fontId="7" fillId="7" borderId="0" xfId="0" applyNumberFormat="1" applyFont="1" applyFill="1" applyAlignment="1">
      <alignment vertical="center"/>
    </xf>
    <xf numFmtId="0" fontId="3" fillId="7" borderId="3" xfId="0" applyFont="1" applyFill="1" applyBorder="1" applyAlignment="1">
      <alignment horizontal="center" vertical="center"/>
    </xf>
    <xf numFmtId="164" fontId="3" fillId="7" borderId="3" xfId="0" applyNumberFormat="1" applyFont="1" applyFill="1" applyBorder="1" applyAlignment="1">
      <alignment horizontal="center" vertical="center"/>
    </xf>
    <xf numFmtId="164" fontId="3" fillId="7" borderId="3" xfId="1" applyFont="1" applyFill="1" applyBorder="1" applyAlignment="1">
      <alignment vertical="center"/>
    </xf>
    <xf numFmtId="0" fontId="12" fillId="7" borderId="3" xfId="0" applyFont="1" applyFill="1" applyBorder="1" applyAlignment="1">
      <alignment vertical="center" wrapText="1"/>
    </xf>
    <xf numFmtId="0" fontId="26" fillId="7" borderId="3" xfId="0" applyFont="1" applyFill="1" applyBorder="1" applyAlignment="1">
      <alignment wrapText="1"/>
    </xf>
    <xf numFmtId="0" fontId="13" fillId="7" borderId="3" xfId="0" applyFont="1" applyFill="1" applyBorder="1" applyAlignment="1">
      <alignment horizontal="left" vertical="center" wrapText="1"/>
    </xf>
    <xf numFmtId="0" fontId="13" fillId="7" borderId="3" xfId="0" applyFont="1" applyFill="1" applyBorder="1" applyAlignment="1">
      <alignment horizontal="center" vertical="center"/>
    </xf>
    <xf numFmtId="164" fontId="7" fillId="7" borderId="3" xfId="0" applyNumberFormat="1" applyFont="1" applyFill="1" applyBorder="1" applyAlignment="1">
      <alignment vertical="center"/>
    </xf>
    <xf numFmtId="164" fontId="3" fillId="7" borderId="3" xfId="3" applyFont="1" applyFill="1" applyBorder="1" applyAlignment="1">
      <alignment vertical="center" wrapText="1"/>
    </xf>
    <xf numFmtId="164" fontId="3" fillId="7" borderId="3" xfId="1" applyFont="1" applyFill="1" applyBorder="1" applyAlignment="1">
      <alignment vertical="center" wrapText="1"/>
    </xf>
    <xf numFmtId="0" fontId="3" fillId="7" borderId="3" xfId="0" applyFont="1" applyFill="1" applyBorder="1" applyAlignment="1">
      <alignment vertical="center"/>
    </xf>
    <xf numFmtId="0" fontId="7" fillId="7" borderId="3" xfId="0" applyFont="1" applyFill="1" applyBorder="1" applyAlignment="1">
      <alignment vertical="center" wrapText="1"/>
    </xf>
    <xf numFmtId="0" fontId="12" fillId="7" borderId="3" xfId="0" applyFont="1" applyFill="1" applyBorder="1" applyAlignment="1">
      <alignment horizontal="left" vertical="center" wrapText="1"/>
    </xf>
    <xf numFmtId="0" fontId="3" fillId="7" borderId="3" xfId="0" applyFont="1" applyFill="1" applyBorder="1" applyAlignment="1">
      <alignment vertical="center" wrapText="1"/>
    </xf>
    <xf numFmtId="164" fontId="3" fillId="7" borderId="3" xfId="1" applyFont="1" applyFill="1" applyBorder="1" applyAlignment="1">
      <alignment horizontal="center" vertical="center" wrapText="1"/>
    </xf>
    <xf numFmtId="164" fontId="3" fillId="7" borderId="3" xfId="0" applyNumberFormat="1" applyFont="1" applyFill="1" applyBorder="1" applyAlignment="1">
      <alignment vertical="center"/>
    </xf>
    <xf numFmtId="164" fontId="3" fillId="7" borderId="3" xfId="0" applyNumberFormat="1" applyFont="1" applyFill="1" applyBorder="1" applyAlignment="1">
      <alignment horizontal="center" vertical="center" wrapText="1"/>
    </xf>
    <xf numFmtId="0" fontId="19" fillId="7" borderId="3" xfId="0" applyFont="1" applyFill="1" applyBorder="1" applyAlignment="1">
      <alignment horizontal="left" vertical="center" wrapText="1"/>
    </xf>
    <xf numFmtId="0" fontId="13" fillId="7" borderId="3" xfId="2" applyFont="1" applyFill="1" applyBorder="1" applyAlignment="1">
      <alignment horizontal="left" vertical="center" wrapText="1"/>
    </xf>
    <xf numFmtId="0" fontId="3" fillId="7" borderId="3" xfId="2" applyFont="1" applyFill="1" applyBorder="1" applyAlignment="1">
      <alignment horizontal="center" vertical="center"/>
    </xf>
    <xf numFmtId="0" fontId="3" fillId="7" borderId="3" xfId="3" applyNumberFormat="1" applyFont="1" applyFill="1" applyBorder="1" applyAlignment="1">
      <alignment horizontal="center" vertical="center" wrapText="1"/>
    </xf>
    <xf numFmtId="44" fontId="3" fillId="7" borderId="3" xfId="2" applyNumberFormat="1" applyFont="1" applyFill="1" applyBorder="1" applyAlignment="1">
      <alignment horizontal="center" vertical="center" wrapText="1"/>
    </xf>
    <xf numFmtId="0" fontId="3" fillId="7" borderId="3" xfId="3" applyNumberFormat="1" applyFont="1" applyFill="1" applyBorder="1" applyAlignment="1">
      <alignment horizontal="center" vertical="center"/>
    </xf>
    <xf numFmtId="164" fontId="3" fillId="7" borderId="3" xfId="3" applyFont="1" applyFill="1" applyBorder="1" applyAlignment="1" applyProtection="1">
      <alignment vertical="center"/>
    </xf>
    <xf numFmtId="0" fontId="13" fillId="7" borderId="3" xfId="0" applyFont="1" applyFill="1" applyBorder="1" applyAlignment="1">
      <alignment horizontal="left" vertical="top" wrapText="1"/>
    </xf>
    <xf numFmtId="0" fontId="3" fillId="8" borderId="3" xfId="0" applyFont="1" applyFill="1" applyBorder="1" applyAlignment="1">
      <alignment horizontal="center" vertical="center" wrapText="1"/>
    </xf>
    <xf numFmtId="0" fontId="7" fillId="8" borderId="3" xfId="0" applyFont="1" applyFill="1" applyBorder="1" applyAlignment="1">
      <alignment vertical="center" wrapText="1"/>
    </xf>
    <xf numFmtId="0" fontId="7" fillId="8" borderId="3" xfId="0" applyFont="1" applyFill="1" applyBorder="1" applyAlignment="1">
      <alignment horizontal="left" vertical="center" wrapText="1"/>
    </xf>
    <xf numFmtId="0" fontId="14" fillId="8" borderId="0" xfId="0" applyFont="1" applyFill="1" applyAlignment="1">
      <alignment vertical="center"/>
    </xf>
    <xf numFmtId="0" fontId="14" fillId="8" borderId="0" xfId="0" applyFont="1" applyFill="1" applyAlignment="1">
      <alignment horizontal="center" vertical="center"/>
    </xf>
    <xf numFmtId="164" fontId="3" fillId="8" borderId="3" xfId="1" applyFont="1" applyFill="1" applyBorder="1" applyAlignment="1">
      <alignment vertical="center"/>
    </xf>
    <xf numFmtId="0" fontId="3" fillId="8" borderId="3" xfId="0" applyFont="1" applyFill="1" applyBorder="1" applyAlignment="1">
      <alignment vertical="center" wrapText="1"/>
    </xf>
    <xf numFmtId="0" fontId="13" fillId="0" borderId="3" xfId="0" applyFont="1" applyBorder="1" applyAlignment="1">
      <alignment horizontal="center" vertical="center" wrapText="1"/>
    </xf>
    <xf numFmtId="8" fontId="13" fillId="0" borderId="3" xfId="0" applyNumberFormat="1" applyFont="1" applyBorder="1" applyAlignment="1">
      <alignment vertical="center" wrapText="1"/>
    </xf>
    <xf numFmtId="8" fontId="13" fillId="0" borderId="3" xfId="0" applyNumberFormat="1" applyFont="1" applyBorder="1" applyAlignment="1">
      <alignment horizontal="left" vertical="center" wrapText="1"/>
    </xf>
    <xf numFmtId="0" fontId="15" fillId="0" borderId="3" xfId="0" applyFont="1" applyBorder="1" applyAlignment="1">
      <alignment horizontal="center" vertical="center" wrapText="1"/>
    </xf>
    <xf numFmtId="0" fontId="27" fillId="0" borderId="3" xfId="0" applyFont="1" applyBorder="1" applyAlignment="1">
      <alignment horizontal="left" vertical="center" wrapText="1"/>
    </xf>
    <xf numFmtId="0" fontId="15" fillId="0" borderId="3" xfId="0" applyFont="1" applyBorder="1" applyAlignment="1">
      <alignment horizontal="center" vertical="center"/>
    </xf>
    <xf numFmtId="164" fontId="15" fillId="0" borderId="3" xfId="1" applyFont="1" applyBorder="1" applyAlignment="1">
      <alignment vertical="center"/>
    </xf>
    <xf numFmtId="164" fontId="28" fillId="0" borderId="3" xfId="1" applyFont="1" applyFill="1" applyBorder="1" applyAlignment="1">
      <alignment vertical="center"/>
    </xf>
    <xf numFmtId="164" fontId="28" fillId="0" borderId="3" xfId="1" applyFont="1" applyBorder="1" applyAlignment="1">
      <alignment vertical="center"/>
    </xf>
    <xf numFmtId="0" fontId="14" fillId="0" borderId="7" xfId="0" applyFont="1" applyBorder="1" applyAlignment="1">
      <alignment horizontal="left" vertical="center" wrapText="1"/>
    </xf>
    <xf numFmtId="0" fontId="14" fillId="0" borderId="7" xfId="0" applyFont="1" applyBorder="1" applyAlignment="1">
      <alignment vertical="center"/>
    </xf>
    <xf numFmtId="0" fontId="14" fillId="0" borderId="7" xfId="0" applyFont="1" applyBorder="1" applyAlignment="1">
      <alignment horizontal="left" vertical="center"/>
    </xf>
    <xf numFmtId="0" fontId="14" fillId="0" borderId="7" xfId="0" applyFont="1" applyBorder="1" applyAlignment="1">
      <alignment vertical="center" wrapText="1"/>
    </xf>
    <xf numFmtId="0" fontId="14" fillId="0" borderId="7" xfId="0" applyFont="1" applyBorder="1" applyAlignment="1">
      <alignment horizontal="center" vertical="center"/>
    </xf>
    <xf numFmtId="165" fontId="14" fillId="0" borderId="7" xfId="0" applyNumberFormat="1" applyFont="1" applyBorder="1" applyAlignment="1">
      <alignment vertical="center"/>
    </xf>
    <xf numFmtId="164" fontId="3" fillId="0" borderId="7" xfId="1" applyFont="1" applyBorder="1" applyAlignment="1">
      <alignment vertical="center"/>
    </xf>
    <xf numFmtId="164" fontId="3" fillId="0" borderId="7" xfId="1" applyFont="1" applyFill="1" applyBorder="1" applyAlignment="1">
      <alignment vertical="center"/>
    </xf>
    <xf numFmtId="0" fontId="3"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5" fillId="0" borderId="5" xfId="2"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horizontal="center" vertical="center"/>
    </xf>
    <xf numFmtId="0" fontId="3" fillId="0" borderId="5" xfId="0" applyFont="1" applyBorder="1" applyAlignment="1">
      <alignment horizontal="center" vertical="center"/>
    </xf>
    <xf numFmtId="164" fontId="3" fillId="0" borderId="5" xfId="3" applyFont="1" applyFill="1" applyBorder="1" applyAlignment="1">
      <alignment vertical="center" wrapText="1"/>
    </xf>
    <xf numFmtId="164" fontId="3" fillId="0" borderId="5" xfId="1" applyFont="1" applyBorder="1" applyAlignment="1">
      <alignment vertical="center"/>
    </xf>
    <xf numFmtId="164" fontId="3" fillId="0" borderId="5" xfId="1" applyFont="1" applyFill="1" applyBorder="1" applyAlignment="1">
      <alignment vertical="center"/>
    </xf>
    <xf numFmtId="0" fontId="3" fillId="4" borderId="5" xfId="0" applyFont="1" applyFill="1" applyBorder="1" applyAlignment="1">
      <alignment horizontal="center" vertical="center"/>
    </xf>
    <xf numFmtId="0" fontId="7" fillId="4" borderId="1" xfId="0" applyFont="1" applyFill="1" applyBorder="1" applyAlignment="1">
      <alignment horizontal="center" vertical="center" wrapText="1"/>
    </xf>
    <xf numFmtId="166" fontId="7" fillId="0" borderId="3" xfId="0" applyNumberFormat="1" applyFont="1" applyBorder="1" applyAlignment="1">
      <alignment vertical="center"/>
    </xf>
    <xf numFmtId="6" fontId="3" fillId="4" borderId="3" xfId="0" applyNumberFormat="1" applyFont="1" applyFill="1" applyBorder="1" applyAlignment="1">
      <alignment horizontal="center" vertical="center" wrapText="1"/>
    </xf>
    <xf numFmtId="0" fontId="3" fillId="4" borderId="1" xfId="0" applyFont="1" applyFill="1" applyBorder="1" applyAlignment="1">
      <alignment vertical="center"/>
    </xf>
    <xf numFmtId="6" fontId="3" fillId="4" borderId="3"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29" fillId="0" borderId="3" xfId="0" applyFont="1" applyBorder="1" applyAlignment="1">
      <alignment horizontal="center" vertical="center" wrapText="1"/>
    </xf>
    <xf numFmtId="0" fontId="33" fillId="5" borderId="3" xfId="0" applyFont="1" applyFill="1" applyBorder="1" applyAlignment="1">
      <alignment horizontal="center" vertical="center" wrapText="1"/>
    </xf>
    <xf numFmtId="0" fontId="35" fillId="5" borderId="3" xfId="0" applyFont="1" applyFill="1" applyBorder="1" applyAlignment="1">
      <alignment vertical="center" wrapText="1"/>
    </xf>
    <xf numFmtId="0" fontId="35" fillId="5" borderId="3" xfId="0" applyFont="1" applyFill="1" applyBorder="1" applyAlignment="1">
      <alignment horizontal="left" vertical="center" wrapText="1"/>
    </xf>
    <xf numFmtId="0" fontId="30" fillId="5" borderId="3"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7" fillId="0" borderId="3" xfId="0" applyFont="1" applyBorder="1" applyAlignment="1">
      <alignment horizontal="center" vertical="center" wrapText="1"/>
    </xf>
    <xf numFmtId="0" fontId="36" fillId="9"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7" fillId="0" borderId="3" xfId="0" applyFont="1" applyBorder="1" applyAlignment="1">
      <alignment horizontal="left" vertical="center" wrapText="1"/>
    </xf>
    <xf numFmtId="0" fontId="38" fillId="0" borderId="3" xfId="0" applyFont="1" applyBorder="1" applyAlignment="1">
      <alignment horizontal="center" vertical="center"/>
    </xf>
    <xf numFmtId="8" fontId="37" fillId="0" borderId="3" xfId="0" applyNumberFormat="1" applyFont="1" applyBorder="1" applyAlignment="1">
      <alignment vertical="center"/>
    </xf>
    <xf numFmtId="164" fontId="14" fillId="0" borderId="3" xfId="3" applyFont="1" applyFill="1" applyBorder="1" applyAlignment="1">
      <alignment vertical="center" wrapText="1"/>
    </xf>
    <xf numFmtId="0" fontId="14" fillId="0" borderId="3" xfId="0" applyFont="1" applyBorder="1" applyAlignment="1">
      <alignment horizontal="center" vertical="center"/>
    </xf>
    <xf numFmtId="164" fontId="33" fillId="0" borderId="3" xfId="0" applyNumberFormat="1" applyFont="1" applyBorder="1" applyAlignment="1">
      <alignment vertical="center"/>
    </xf>
    <xf numFmtId="0" fontId="14" fillId="4" borderId="3" xfId="0" applyFont="1" applyFill="1" applyBorder="1" applyAlignment="1">
      <alignment horizontal="center" vertical="center"/>
    </xf>
    <xf numFmtId="0" fontId="14" fillId="4" borderId="3" xfId="0" applyFont="1" applyFill="1" applyBorder="1" applyAlignment="1">
      <alignment vertical="center"/>
    </xf>
    <xf numFmtId="0" fontId="14" fillId="0" borderId="3" xfId="0" applyFont="1" applyBorder="1" applyAlignment="1">
      <alignment vertical="center" wrapText="1"/>
    </xf>
    <xf numFmtId="0" fontId="37" fillId="0" borderId="3" xfId="0" applyFont="1" applyBorder="1" applyAlignment="1">
      <alignment vertical="center" wrapText="1"/>
    </xf>
    <xf numFmtId="0" fontId="37" fillId="0" borderId="3" xfId="0" applyFont="1" applyBorder="1" applyAlignment="1">
      <alignment vertical="center"/>
    </xf>
    <xf numFmtId="0" fontId="36" fillId="11" borderId="3" xfId="0" applyFont="1" applyFill="1" applyBorder="1" applyAlignment="1">
      <alignment horizontal="center" vertical="center" wrapText="1"/>
    </xf>
    <xf numFmtId="0" fontId="36" fillId="0" borderId="3" xfId="0" applyFont="1" applyBorder="1" applyAlignment="1">
      <alignment horizontal="center" vertical="center" wrapText="1"/>
    </xf>
    <xf numFmtId="8" fontId="37" fillId="10" borderId="3" xfId="0" applyNumberFormat="1" applyFont="1" applyFill="1" applyBorder="1" applyAlignment="1">
      <alignment vertical="center" wrapText="1"/>
    </xf>
    <xf numFmtId="164" fontId="33" fillId="2" borderId="3" xfId="0" applyNumberFormat="1" applyFont="1" applyFill="1" applyBorder="1" applyAlignment="1">
      <alignment vertical="center"/>
    </xf>
    <xf numFmtId="0" fontId="33" fillId="0" borderId="3" xfId="0" applyFont="1" applyBorder="1" applyAlignment="1">
      <alignment vertical="center" wrapText="1"/>
    </xf>
    <xf numFmtId="164" fontId="14" fillId="0" borderId="3" xfId="1" applyFont="1" applyFill="1" applyBorder="1" applyAlignment="1">
      <alignment vertical="center"/>
    </xf>
    <xf numFmtId="164" fontId="14" fillId="0" borderId="3" xfId="1" applyFont="1" applyBorder="1" applyAlignment="1">
      <alignment vertical="center"/>
    </xf>
    <xf numFmtId="164" fontId="33" fillId="5" borderId="3" xfId="1"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167" fontId="7" fillId="0" borderId="0" xfId="0" applyNumberFormat="1" applyFont="1" applyAlignment="1">
      <alignment vertical="center"/>
    </xf>
    <xf numFmtId="0" fontId="10" fillId="0" borderId="3" xfId="0" applyFont="1" applyBorder="1" applyAlignment="1">
      <alignment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9" xfId="0" applyFont="1" applyFill="1" applyBorder="1" applyAlignment="1">
      <alignment horizontal="center" vertical="center"/>
    </xf>
    <xf numFmtId="164" fontId="10" fillId="2" borderId="12" xfId="0" applyNumberFormat="1" applyFont="1" applyFill="1" applyBorder="1" applyAlignment="1">
      <alignment vertical="center"/>
    </xf>
    <xf numFmtId="164" fontId="10" fillId="2" borderId="13" xfId="1" applyFont="1" applyFill="1" applyBorder="1" applyAlignment="1">
      <alignment horizontal="right" vertical="center" wrapText="1"/>
    </xf>
    <xf numFmtId="164" fontId="10" fillId="2" borderId="14" xfId="1" applyFont="1" applyFill="1" applyBorder="1" applyAlignment="1">
      <alignment horizontal="right" vertical="center" wrapText="1"/>
    </xf>
    <xf numFmtId="164" fontId="10" fillId="2" borderId="15" xfId="1" applyFont="1" applyFill="1" applyBorder="1" applyAlignment="1">
      <alignment horizontal="right" vertical="center" wrapText="1"/>
    </xf>
    <xf numFmtId="0" fontId="39" fillId="0" borderId="0" xfId="0" applyFont="1" applyAlignment="1">
      <alignment vertical="center"/>
    </xf>
    <xf numFmtId="0" fontId="40" fillId="0" borderId="0" xfId="0" applyFont="1" applyAlignment="1">
      <alignment vertical="center"/>
    </xf>
    <xf numFmtId="0" fontId="40" fillId="0" borderId="3" xfId="0" applyFont="1" applyBorder="1" applyAlignment="1">
      <alignment vertical="center" wrapText="1"/>
    </xf>
    <xf numFmtId="0" fontId="40" fillId="4" borderId="1" xfId="0" applyFont="1" applyFill="1" applyBorder="1" applyAlignment="1">
      <alignment vertical="center"/>
    </xf>
    <xf numFmtId="0" fontId="40" fillId="4" borderId="3" xfId="0" applyFont="1" applyFill="1" applyBorder="1" applyAlignment="1">
      <alignment horizontal="center" vertical="center" wrapText="1"/>
    </xf>
    <xf numFmtId="164" fontId="41" fillId="0" borderId="3" xfId="0" applyNumberFormat="1" applyFont="1" applyBorder="1" applyAlignment="1">
      <alignment vertical="center"/>
    </xf>
    <xf numFmtId="164" fontId="40" fillId="0" borderId="3" xfId="1" applyFont="1" applyBorder="1" applyAlignment="1">
      <alignment vertical="center"/>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2" fillId="0" borderId="3" xfId="2" applyFont="1" applyBorder="1" applyAlignment="1">
      <alignment horizontal="left" vertical="center" wrapText="1"/>
    </xf>
    <xf numFmtId="0" fontId="42" fillId="0" borderId="3" xfId="0" applyFont="1" applyBorder="1" applyAlignment="1">
      <alignment horizontal="left" vertical="center" wrapText="1"/>
    </xf>
    <xf numFmtId="0" fontId="23" fillId="6" borderId="3" xfId="0" applyFont="1" applyFill="1" applyBorder="1" applyAlignment="1">
      <alignment horizontal="center" vertical="center" wrapText="1"/>
    </xf>
    <xf numFmtId="0" fontId="40" fillId="0" borderId="3" xfId="2" applyFont="1" applyBorder="1" applyAlignment="1">
      <alignment horizontal="center" vertical="center" wrapText="1"/>
    </xf>
    <xf numFmtId="0" fontId="40" fillId="0" borderId="3" xfId="0" applyFont="1" applyBorder="1" applyAlignment="1">
      <alignment vertical="top" wrapText="1"/>
    </xf>
    <xf numFmtId="0" fontId="40" fillId="4" borderId="3" xfId="0" applyFont="1" applyFill="1" applyBorder="1" applyAlignment="1">
      <alignment horizontal="center" vertical="top" wrapText="1"/>
    </xf>
    <xf numFmtId="164" fontId="43" fillId="0" borderId="3" xfId="0" applyNumberFormat="1" applyFont="1" applyBorder="1" applyAlignment="1">
      <alignment vertical="top" wrapText="1"/>
    </xf>
    <xf numFmtId="164" fontId="40" fillId="0" borderId="3" xfId="1" applyFont="1" applyBorder="1" applyAlignment="1">
      <alignment vertical="top" wrapText="1"/>
    </xf>
    <xf numFmtId="0" fontId="40" fillId="0" borderId="3" xfId="0" applyFont="1" applyBorder="1" applyAlignment="1">
      <alignment horizontal="center" vertical="top" wrapText="1"/>
    </xf>
    <xf numFmtId="164" fontId="40" fillId="0" borderId="3" xfId="1" applyFont="1" applyFill="1" applyBorder="1" applyAlignment="1">
      <alignment vertical="top" wrapText="1"/>
    </xf>
    <xf numFmtId="8" fontId="44" fillId="0" borderId="3" xfId="0" applyNumberFormat="1" applyFont="1" applyBorder="1" applyAlignment="1">
      <alignment vertical="top" wrapText="1"/>
    </xf>
    <xf numFmtId="0" fontId="42" fillId="0" borderId="3" xfId="0" applyFont="1" applyBorder="1" applyAlignment="1">
      <alignment vertical="top" wrapText="1"/>
    </xf>
    <xf numFmtId="0" fontId="23" fillId="0" borderId="3" xfId="0" applyFont="1" applyBorder="1" applyAlignment="1">
      <alignment horizontal="center" vertical="top" wrapText="1"/>
    </xf>
    <xf numFmtId="0" fontId="23" fillId="6" borderId="3" xfId="0" applyFont="1" applyFill="1" applyBorder="1" applyAlignment="1">
      <alignment horizontal="center" vertical="top" wrapText="1"/>
    </xf>
    <xf numFmtId="0" fontId="40" fillId="4" borderId="3" xfId="0" applyFont="1" applyFill="1" applyBorder="1" applyAlignment="1">
      <alignment vertical="top" wrapText="1"/>
    </xf>
    <xf numFmtId="0" fontId="38" fillId="0" borderId="3" xfId="0" applyFont="1" applyBorder="1" applyAlignment="1">
      <alignment vertical="top" wrapText="1"/>
    </xf>
    <xf numFmtId="8" fontId="45" fillId="0" borderId="3" xfId="0" applyNumberFormat="1" applyFont="1" applyBorder="1" applyAlignment="1">
      <alignment vertical="center"/>
    </xf>
    <xf numFmtId="0" fontId="46" fillId="0" borderId="0" xfId="0" applyFont="1" applyAlignment="1">
      <alignment vertical="center"/>
    </xf>
    <xf numFmtId="0" fontId="47" fillId="0" borderId="3" xfId="0" applyFont="1" applyBorder="1" applyAlignment="1">
      <alignment vertical="center" wrapText="1"/>
    </xf>
    <xf numFmtId="164" fontId="48" fillId="0" borderId="9" xfId="0" applyNumberFormat="1" applyFont="1" applyBorder="1" applyAlignment="1">
      <alignment vertical="center"/>
    </xf>
    <xf numFmtId="164" fontId="38" fillId="0" borderId="9" xfId="0" applyNumberFormat="1" applyFont="1" applyBorder="1" applyAlignment="1">
      <alignment vertical="center"/>
    </xf>
    <xf numFmtId="7" fontId="38" fillId="0" borderId="9" xfId="0" applyNumberFormat="1" applyFont="1" applyBorder="1" applyAlignment="1">
      <alignment vertical="center"/>
    </xf>
    <xf numFmtId="0" fontId="38" fillId="0" borderId="16" xfId="0" applyFont="1" applyBorder="1" applyAlignment="1">
      <alignment horizontal="center" wrapText="1"/>
    </xf>
    <xf numFmtId="6" fontId="44" fillId="0" borderId="16" xfId="0" applyNumberFormat="1" applyFont="1" applyBorder="1" applyAlignment="1">
      <alignment horizontal="center" wrapText="1"/>
    </xf>
    <xf numFmtId="8" fontId="44" fillId="0" borderId="16" xfId="0" applyNumberFormat="1" applyFont="1" applyBorder="1" applyAlignment="1">
      <alignment wrapText="1"/>
    </xf>
    <xf numFmtId="0" fontId="44" fillId="0" borderId="16" xfId="0" applyFont="1" applyBorder="1" applyAlignment="1">
      <alignment wrapText="1"/>
    </xf>
    <xf numFmtId="0" fontId="44" fillId="0" borderId="11" xfId="0" applyFont="1" applyBorder="1" applyAlignment="1">
      <alignment wrapText="1"/>
    </xf>
    <xf numFmtId="164" fontId="43" fillId="0" borderId="3" xfId="0" applyNumberFormat="1" applyFont="1" applyBorder="1" applyAlignment="1">
      <alignment vertical="center"/>
    </xf>
    <xf numFmtId="6" fontId="42" fillId="0" borderId="3" xfId="0" applyNumberFormat="1" applyFont="1" applyBorder="1" applyAlignment="1">
      <alignment vertical="center"/>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23" fillId="10" borderId="3" xfId="0" applyFont="1" applyFill="1" applyBorder="1" applyAlignment="1">
      <alignment horizontal="center" vertical="center" wrapText="1"/>
    </xf>
    <xf numFmtId="0" fontId="0" fillId="0" borderId="0" xfId="0" applyAlignment="1">
      <alignment wrapText="1"/>
    </xf>
    <xf numFmtId="164" fontId="0" fillId="0" borderId="0" xfId="1" applyFont="1" applyAlignment="1">
      <alignment vertical="center"/>
    </xf>
    <xf numFmtId="164" fontId="3" fillId="0" borderId="3" xfId="1" applyFont="1" applyBorder="1" applyAlignment="1">
      <alignment horizontal="center" vertical="center"/>
    </xf>
    <xf numFmtId="166" fontId="3" fillId="0" borderId="3" xfId="1" applyNumberFormat="1" applyFont="1" applyBorder="1" applyAlignment="1">
      <alignment vertical="center"/>
    </xf>
    <xf numFmtId="0" fontId="3" fillId="4" borderId="3" xfId="0" applyFont="1" applyFill="1" applyBorder="1" applyAlignment="1">
      <alignment vertical="center"/>
    </xf>
    <xf numFmtId="0" fontId="0" fillId="0" borderId="3" xfId="0" applyBorder="1"/>
    <xf numFmtId="0" fontId="49" fillId="0" borderId="3" xfId="0" applyFont="1" applyBorder="1"/>
    <xf numFmtId="6" fontId="49" fillId="0" borderId="3" xfId="0" applyNumberFormat="1" applyFont="1" applyBorder="1"/>
    <xf numFmtId="0" fontId="49" fillId="0" borderId="3" xfId="0" applyFont="1" applyBorder="1" applyAlignment="1">
      <alignment wrapText="1"/>
    </xf>
    <xf numFmtId="0" fontId="3" fillId="0" borderId="3" xfId="1" applyNumberFormat="1" applyFont="1" applyBorder="1" applyAlignment="1">
      <alignment horizontal="center" vertical="center" wrapText="1"/>
    </xf>
    <xf numFmtId="166" fontId="3" fillId="0" borderId="3" xfId="1" applyNumberFormat="1" applyFont="1" applyBorder="1" applyAlignment="1">
      <alignment horizontal="center" vertical="center" wrapText="1"/>
    </xf>
    <xf numFmtId="0" fontId="3" fillId="0" borderId="3" xfId="1" applyNumberFormat="1" applyFont="1" applyBorder="1" applyAlignment="1">
      <alignment horizontal="center" vertical="center"/>
    </xf>
    <xf numFmtId="166" fontId="3" fillId="0" borderId="3" xfId="1" applyNumberFormat="1" applyFont="1" applyBorder="1" applyAlignment="1">
      <alignment horizontal="left" vertical="center" wrapText="1"/>
    </xf>
    <xf numFmtId="166" fontId="3" fillId="0" borderId="3" xfId="1" applyNumberFormat="1" applyFont="1" applyBorder="1" applyAlignment="1">
      <alignment vertical="center" wrapText="1"/>
    </xf>
    <xf numFmtId="164" fontId="7" fillId="5" borderId="3" xfId="1" applyFont="1" applyFill="1" applyBorder="1" applyAlignment="1">
      <alignment horizontal="center" vertical="center" wrapText="1"/>
    </xf>
    <xf numFmtId="4" fontId="39" fillId="0" borderId="0" xfId="0" applyNumberFormat="1" applyFont="1"/>
    <xf numFmtId="0" fontId="0" fillId="0" borderId="3" xfId="0" applyBorder="1" applyAlignment="1">
      <alignment vertical="center" wrapText="1"/>
    </xf>
    <xf numFmtId="0" fontId="0" fillId="0" borderId="3" xfId="0" applyBorder="1" applyAlignment="1">
      <alignment vertical="center"/>
    </xf>
    <xf numFmtId="0" fontId="51" fillId="6" borderId="3" xfId="0" applyFont="1" applyFill="1" applyBorder="1" applyAlignment="1">
      <alignment horizontal="center" vertical="center" wrapText="1"/>
    </xf>
    <xf numFmtId="164" fontId="10" fillId="12" borderId="3" xfId="0" applyNumberFormat="1" applyFont="1" applyFill="1" applyBorder="1" applyAlignment="1">
      <alignment vertical="center"/>
    </xf>
    <xf numFmtId="164" fontId="52" fillId="12" borderId="3" xfId="1" applyFont="1" applyFill="1" applyBorder="1" applyAlignment="1">
      <alignment vertical="center"/>
    </xf>
    <xf numFmtId="0" fontId="52" fillId="12" borderId="3" xfId="0" applyFont="1" applyFill="1" applyBorder="1" applyAlignment="1">
      <alignment horizontal="center" vertical="center"/>
    </xf>
    <xf numFmtId="0" fontId="53" fillId="12" borderId="3" xfId="0" applyFont="1" applyFill="1" applyBorder="1" applyAlignment="1">
      <alignment horizontal="center" vertical="center" wrapText="1"/>
    </xf>
    <xf numFmtId="0" fontId="54" fillId="12" borderId="3" xfId="0" applyFont="1" applyFill="1" applyBorder="1" applyAlignment="1">
      <alignment horizontal="left" vertical="center" wrapText="1"/>
    </xf>
    <xf numFmtId="0" fontId="52" fillId="12" borderId="3" xfId="0" applyFont="1" applyFill="1" applyBorder="1" applyAlignment="1">
      <alignment vertical="center" wrapText="1"/>
    </xf>
    <xf numFmtId="0" fontId="55" fillId="12" borderId="3" xfId="0" applyFont="1" applyFill="1" applyBorder="1" applyAlignment="1">
      <alignment horizontal="center" vertical="center" wrapText="1"/>
    </xf>
    <xf numFmtId="0" fontId="52" fillId="12" borderId="3" xfId="0" applyFont="1" applyFill="1" applyBorder="1" applyAlignment="1">
      <alignment horizontal="center" vertical="center" wrapText="1"/>
    </xf>
    <xf numFmtId="164" fontId="56" fillId="13" borderId="3" xfId="0" applyNumberFormat="1" applyFont="1" applyFill="1" applyBorder="1" applyAlignment="1">
      <alignment vertical="center"/>
    </xf>
    <xf numFmtId="164" fontId="57" fillId="13" borderId="3" xfId="1" applyFont="1" applyFill="1" applyBorder="1" applyAlignment="1">
      <alignment vertical="center"/>
    </xf>
    <xf numFmtId="1" fontId="57" fillId="13" borderId="3" xfId="0" applyNumberFormat="1" applyFont="1" applyFill="1" applyBorder="1" applyAlignment="1">
      <alignment horizontal="center" vertical="center"/>
    </xf>
    <xf numFmtId="167" fontId="57" fillId="13" borderId="3" xfId="1" applyNumberFormat="1" applyFont="1" applyFill="1" applyBorder="1" applyAlignment="1">
      <alignment horizontal="right" vertical="center"/>
    </xf>
    <xf numFmtId="0" fontId="57" fillId="13" borderId="3" xfId="0" applyFont="1" applyFill="1" applyBorder="1" applyAlignment="1">
      <alignment horizontal="center" vertical="center" wrapText="1"/>
    </xf>
    <xf numFmtId="0" fontId="57" fillId="13" borderId="3" xfId="0" applyFont="1" applyFill="1" applyBorder="1" applyAlignment="1">
      <alignment horizontal="center" vertical="center"/>
    </xf>
    <xf numFmtId="0" fontId="58" fillId="13" borderId="3" xfId="0" applyFont="1" applyFill="1" applyBorder="1" applyAlignment="1">
      <alignment horizontal="left" vertical="center" wrapText="1"/>
    </xf>
    <xf numFmtId="0" fontId="57" fillId="13" borderId="3" xfId="0" applyFont="1" applyFill="1" applyBorder="1" applyAlignment="1">
      <alignment vertical="center" wrapText="1"/>
    </xf>
    <xf numFmtId="0" fontId="51" fillId="13" borderId="3" xfId="0" applyFont="1" applyFill="1" applyBorder="1" applyAlignment="1">
      <alignment horizontal="center" vertical="center" wrapText="1"/>
    </xf>
    <xf numFmtId="164" fontId="39" fillId="13" borderId="3" xfId="0" applyNumberFormat="1" applyFont="1" applyFill="1" applyBorder="1" applyAlignment="1">
      <alignment vertical="center"/>
    </xf>
    <xf numFmtId="164" fontId="39" fillId="13" borderId="3" xfId="2" applyNumberFormat="1" applyFont="1" applyFill="1" applyBorder="1" applyAlignment="1">
      <alignment horizontal="center" vertical="center"/>
    </xf>
    <xf numFmtId="164" fontId="0" fillId="13" borderId="3" xfId="3" applyFont="1" applyFill="1" applyBorder="1" applyAlignment="1" applyProtection="1">
      <alignment vertical="center"/>
    </xf>
    <xf numFmtId="0" fontId="0" fillId="13" borderId="3" xfId="3" applyNumberFormat="1" applyFont="1" applyFill="1" applyBorder="1" applyAlignment="1">
      <alignment horizontal="center" vertical="center"/>
    </xf>
    <xf numFmtId="164" fontId="0" fillId="13" borderId="3" xfId="3" applyFont="1" applyFill="1" applyBorder="1" applyAlignment="1">
      <alignment vertical="center" wrapText="1"/>
    </xf>
    <xf numFmtId="0" fontId="0" fillId="13" borderId="3" xfId="0" applyFill="1" applyBorder="1" applyAlignment="1">
      <alignment horizontal="center" vertical="center"/>
    </xf>
    <xf numFmtId="0" fontId="0" fillId="13" borderId="3" xfId="2" applyFont="1" applyFill="1" applyBorder="1" applyAlignment="1">
      <alignment horizontal="center" vertical="center"/>
    </xf>
    <xf numFmtId="0" fontId="59" fillId="13" borderId="3" xfId="2" applyFont="1" applyFill="1" applyBorder="1" applyAlignment="1">
      <alignment horizontal="left" vertical="center" wrapText="1"/>
    </xf>
    <xf numFmtId="0" fontId="60" fillId="13" borderId="3" xfId="2" applyFont="1" applyFill="1" applyBorder="1" applyAlignment="1">
      <alignment horizontal="center" vertical="center" wrapText="1"/>
    </xf>
    <xf numFmtId="0" fontId="0" fillId="13" borderId="3" xfId="2" applyFont="1" applyFill="1" applyBorder="1" applyAlignment="1">
      <alignment horizontal="center" vertical="center" wrapText="1"/>
    </xf>
    <xf numFmtId="167" fontId="39" fillId="13" borderId="3" xfId="0" applyNumberFormat="1" applyFont="1" applyFill="1" applyBorder="1" applyAlignment="1">
      <alignment vertical="center"/>
    </xf>
    <xf numFmtId="167" fontId="0" fillId="13" borderId="3" xfId="0" applyNumberFormat="1" applyFill="1" applyBorder="1" applyAlignment="1">
      <alignment vertical="center"/>
    </xf>
    <xf numFmtId="167" fontId="0" fillId="13" borderId="3" xfId="0" applyNumberFormat="1" applyFill="1" applyBorder="1" applyAlignment="1">
      <alignment horizontal="center" vertical="center"/>
    </xf>
    <xf numFmtId="0" fontId="0" fillId="13" borderId="3" xfId="0" applyFill="1" applyBorder="1" applyAlignment="1">
      <alignment vertical="center"/>
    </xf>
    <xf numFmtId="164" fontId="62" fillId="0" borderId="3" xfId="1" applyFont="1" applyBorder="1" applyAlignment="1">
      <alignment vertical="center"/>
    </xf>
    <xf numFmtId="164" fontId="52" fillId="0" borderId="3" xfId="1" applyFont="1" applyBorder="1" applyAlignment="1">
      <alignment vertical="center"/>
    </xf>
    <xf numFmtId="0" fontId="52" fillId="0" borderId="3" xfId="0" applyFont="1" applyBorder="1" applyAlignment="1">
      <alignment horizontal="center" vertical="center"/>
    </xf>
    <xf numFmtId="0" fontId="52" fillId="0" borderId="3" xfId="0" applyFont="1" applyBorder="1" applyAlignment="1">
      <alignment horizontal="center" vertical="center" wrapText="1"/>
    </xf>
    <xf numFmtId="0" fontId="54" fillId="0" borderId="3" xfId="0" applyFont="1" applyBorder="1" applyAlignment="1">
      <alignment horizontal="left" vertical="center" wrapText="1"/>
    </xf>
    <xf numFmtId="0" fontId="52" fillId="0" borderId="3" xfId="0" applyFont="1" applyBorder="1" applyAlignment="1">
      <alignment vertical="center" wrapText="1"/>
    </xf>
    <xf numFmtId="0" fontId="55" fillId="6" borderId="3" xfId="0" applyFont="1" applyFill="1" applyBorder="1" applyAlignment="1">
      <alignment horizontal="center" vertical="center" wrapText="1"/>
    </xf>
    <xf numFmtId="164" fontId="50" fillId="0" borderId="3" xfId="0" applyNumberFormat="1" applyFont="1" applyBorder="1" applyAlignment="1">
      <alignment vertical="center"/>
    </xf>
    <xf numFmtId="164" fontId="51" fillId="0" borderId="3" xfId="1" applyFont="1" applyFill="1" applyBorder="1" applyAlignment="1">
      <alignment vertical="center"/>
    </xf>
    <xf numFmtId="167" fontId="51" fillId="0" borderId="3" xfId="1" applyNumberFormat="1" applyFont="1" applyFill="1" applyBorder="1" applyAlignment="1">
      <alignment horizontal="right" vertical="center"/>
    </xf>
    <xf numFmtId="0" fontId="51" fillId="0" borderId="3" xfId="0" applyFont="1" applyBorder="1" applyAlignment="1">
      <alignment horizontal="center" vertical="center" wrapText="1"/>
    </xf>
    <xf numFmtId="0" fontId="51" fillId="0" borderId="3" xfId="0" applyFont="1" applyBorder="1" applyAlignment="1">
      <alignment horizontal="center" vertical="center"/>
    </xf>
    <xf numFmtId="0" fontId="51" fillId="0" borderId="3" xfId="0" applyFont="1" applyBorder="1" applyAlignment="1">
      <alignment horizontal="left" vertical="center" wrapText="1"/>
    </xf>
    <xf numFmtId="0" fontId="51" fillId="0" borderId="3" xfId="0" applyFont="1" applyBorder="1" applyAlignment="1">
      <alignment vertical="center" wrapText="1"/>
    </xf>
    <xf numFmtId="164" fontId="10" fillId="6" borderId="3" xfId="0" applyNumberFormat="1" applyFont="1" applyFill="1" applyBorder="1" applyAlignment="1">
      <alignment vertical="center"/>
    </xf>
    <xf numFmtId="164" fontId="52" fillId="6" borderId="3" xfId="1" applyFont="1" applyFill="1" applyBorder="1" applyAlignment="1">
      <alignment vertical="center"/>
    </xf>
    <xf numFmtId="0" fontId="52" fillId="6" borderId="3" xfId="0" applyFont="1" applyFill="1" applyBorder="1" applyAlignment="1">
      <alignment horizontal="center" vertical="center"/>
    </xf>
    <xf numFmtId="0" fontId="52" fillId="6" borderId="3"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5" fillId="0" borderId="3" xfId="0" applyFont="1" applyBorder="1" applyAlignment="1">
      <alignment horizontal="center" vertical="center" wrapText="1"/>
    </xf>
    <xf numFmtId="164" fontId="10" fillId="0" borderId="3" xfId="0" applyNumberFormat="1" applyFont="1" applyBorder="1" applyAlignment="1">
      <alignment vertical="center"/>
    </xf>
    <xf numFmtId="164" fontId="39" fillId="0" borderId="3" xfId="0" applyNumberFormat="1" applyFont="1" applyBorder="1" applyAlignment="1">
      <alignment vertical="center"/>
    </xf>
    <xf numFmtId="0" fontId="0" fillId="0" borderId="3" xfId="3" applyNumberFormat="1" applyFont="1" applyFill="1" applyBorder="1" applyAlignment="1">
      <alignment horizontal="center" vertical="center"/>
    </xf>
    <xf numFmtId="0" fontId="0" fillId="0" borderId="3" xfId="0" applyBorder="1" applyAlignment="1">
      <alignment horizontal="center" vertical="center"/>
    </xf>
    <xf numFmtId="0" fontId="0" fillId="0" borderId="3" xfId="2" applyFont="1" applyBorder="1" applyAlignment="1">
      <alignment horizontal="center" vertical="center"/>
    </xf>
    <xf numFmtId="0" fontId="59" fillId="0" borderId="3" xfId="2" applyFont="1" applyBorder="1" applyAlignment="1">
      <alignment horizontal="left" vertical="center" wrapText="1"/>
    </xf>
    <xf numFmtId="0" fontId="60" fillId="0" borderId="3" xfId="2" applyFont="1" applyBorder="1" applyAlignment="1">
      <alignment horizontal="center" vertical="center" wrapText="1"/>
    </xf>
    <xf numFmtId="0" fontId="0" fillId="0" borderId="3" xfId="2" applyFont="1" applyBorder="1" applyAlignment="1">
      <alignment horizontal="center" vertical="center" wrapText="1"/>
    </xf>
    <xf numFmtId="167" fontId="0" fillId="0" borderId="3" xfId="2" applyNumberFormat="1" applyFont="1" applyBorder="1" applyAlignment="1">
      <alignment horizontal="center" vertical="center" wrapText="1"/>
    </xf>
    <xf numFmtId="164" fontId="0" fillId="0" borderId="3" xfId="3" applyFont="1" applyFill="1" applyBorder="1" applyAlignment="1">
      <alignment horizontal="center" vertical="center" wrapText="1"/>
    </xf>
    <xf numFmtId="164" fontId="0" fillId="0" borderId="3" xfId="3" applyFont="1" applyFill="1" applyBorder="1" applyAlignment="1">
      <alignment vertical="center" wrapText="1"/>
    </xf>
    <xf numFmtId="164" fontId="39" fillId="0" borderId="3" xfId="2" applyNumberFormat="1" applyFont="1" applyBorder="1" applyAlignment="1">
      <alignment vertical="center"/>
    </xf>
    <xf numFmtId="164" fontId="52" fillId="0" borderId="3" xfId="1" applyFont="1" applyFill="1" applyBorder="1" applyAlignment="1">
      <alignment vertical="center"/>
    </xf>
    <xf numFmtId="0" fontId="54" fillId="6" borderId="3" xfId="2" applyFont="1" applyFill="1" applyBorder="1" applyAlignment="1">
      <alignment horizontal="left" vertical="center" wrapText="1"/>
    </xf>
    <xf numFmtId="0" fontId="54" fillId="0" borderId="3" xfId="0" applyFont="1" applyBorder="1" applyAlignment="1">
      <alignment vertical="center" wrapText="1"/>
    </xf>
    <xf numFmtId="167" fontId="39" fillId="0" borderId="3" xfId="0" applyNumberFormat="1" applyFont="1" applyBorder="1" applyAlignment="1">
      <alignment horizontal="center" vertical="center"/>
    </xf>
    <xf numFmtId="167" fontId="39" fillId="0" borderId="3" xfId="0" applyNumberFormat="1" applyFont="1" applyBorder="1" applyAlignment="1">
      <alignment vertical="center"/>
    </xf>
    <xf numFmtId="0" fontId="0" fillId="0" borderId="3" xfId="3" applyNumberFormat="1" applyFont="1" applyFill="1" applyBorder="1" applyAlignment="1">
      <alignment horizontal="center" vertical="center" wrapText="1"/>
    </xf>
    <xf numFmtId="164" fontId="61" fillId="0" borderId="3" xfId="0" applyNumberFormat="1" applyFont="1" applyBorder="1" applyAlignment="1">
      <alignment vertical="center"/>
    </xf>
    <xf numFmtId="164" fontId="60" fillId="0" borderId="3" xfId="1" applyFont="1" applyFill="1" applyBorder="1" applyAlignment="1">
      <alignment vertical="center"/>
    </xf>
    <xf numFmtId="1" fontId="60" fillId="0" borderId="3" xfId="0" applyNumberFormat="1" applyFont="1" applyBorder="1" applyAlignment="1">
      <alignment horizontal="center" vertical="center"/>
    </xf>
    <xf numFmtId="167" fontId="60" fillId="0" borderId="3" xfId="1" applyNumberFormat="1" applyFont="1" applyFill="1" applyBorder="1" applyAlignment="1">
      <alignment horizontal="right" vertical="center"/>
    </xf>
    <xf numFmtId="0" fontId="60" fillId="0" borderId="3" xfId="0" applyFont="1" applyBorder="1" applyAlignment="1">
      <alignment horizontal="center" vertical="center" wrapText="1"/>
    </xf>
    <xf numFmtId="0" fontId="60" fillId="0" borderId="3" xfId="0" applyFont="1" applyBorder="1" applyAlignment="1">
      <alignment horizontal="center" vertical="center"/>
    </xf>
    <xf numFmtId="0" fontId="60" fillId="0" borderId="3" xfId="0" applyFont="1" applyBorder="1" applyAlignment="1">
      <alignment horizontal="left" vertical="center" wrapText="1"/>
    </xf>
    <xf numFmtId="0" fontId="60" fillId="0" borderId="3" xfId="0" applyFont="1" applyBorder="1" applyAlignment="1">
      <alignment vertical="center" wrapText="1"/>
    </xf>
    <xf numFmtId="1" fontId="60" fillId="0" borderId="3" xfId="1" applyNumberFormat="1" applyFont="1" applyFill="1" applyBorder="1" applyAlignment="1">
      <alignment horizontal="center" vertical="center" wrapText="1"/>
    </xf>
    <xf numFmtId="167" fontId="60" fillId="0" borderId="3" xfId="0" applyNumberFormat="1" applyFont="1" applyBorder="1" applyAlignment="1">
      <alignment horizontal="right" vertical="center"/>
    </xf>
    <xf numFmtId="1" fontId="60" fillId="0" borderId="3" xfId="0" applyNumberFormat="1" applyFont="1" applyBorder="1" applyAlignment="1">
      <alignment horizontal="center" vertical="center" wrapText="1"/>
    </xf>
    <xf numFmtId="164" fontId="22" fillId="0" borderId="3" xfId="9" applyFont="1" applyBorder="1" applyAlignment="1">
      <alignment vertical="center"/>
    </xf>
    <xf numFmtId="167" fontId="22" fillId="0" borderId="3" xfId="0" applyNumberFormat="1" applyFont="1" applyBorder="1" applyAlignment="1">
      <alignment vertical="center"/>
    </xf>
    <xf numFmtId="0" fontId="22" fillId="0" borderId="3" xfId="0" applyFont="1" applyBorder="1" applyAlignment="1">
      <alignment horizontal="center" vertical="center"/>
    </xf>
    <xf numFmtId="0" fontId="22" fillId="0" borderId="3" xfId="0" applyFont="1" applyBorder="1" applyAlignment="1">
      <alignment vertical="top"/>
    </xf>
    <xf numFmtId="0" fontId="22" fillId="0" borderId="3" xfId="0" applyFont="1" applyBorder="1" applyAlignment="1">
      <alignment horizontal="left" vertical="center" wrapText="1"/>
    </xf>
    <xf numFmtId="0" fontId="22" fillId="0" borderId="3" xfId="0" applyFont="1" applyBorder="1" applyAlignment="1">
      <alignment vertical="top" wrapText="1"/>
    </xf>
    <xf numFmtId="0" fontId="22" fillId="0" borderId="3" xfId="0" applyFont="1" applyBorder="1" applyAlignment="1">
      <alignment horizontal="center" vertical="center" wrapText="1"/>
    </xf>
    <xf numFmtId="164" fontId="22" fillId="6" borderId="3" xfId="9" applyFont="1" applyFill="1" applyBorder="1" applyAlignment="1">
      <alignment vertical="center"/>
    </xf>
    <xf numFmtId="167" fontId="22" fillId="6" borderId="3" xfId="0" applyNumberFormat="1" applyFont="1" applyFill="1" applyBorder="1" applyAlignment="1">
      <alignment vertical="center"/>
    </xf>
    <xf numFmtId="0" fontId="22" fillId="6" borderId="3" xfId="0" applyFont="1" applyFill="1" applyBorder="1" applyAlignment="1">
      <alignment horizontal="center" vertical="center" wrapText="1"/>
    </xf>
    <xf numFmtId="0" fontId="22" fillId="6" borderId="3" xfId="0" applyFont="1" applyFill="1" applyBorder="1" applyAlignment="1">
      <alignment vertical="top"/>
    </xf>
    <xf numFmtId="0" fontId="22" fillId="6" borderId="3" xfId="0" applyFont="1" applyFill="1" applyBorder="1" applyAlignment="1">
      <alignment horizontal="center" vertical="center"/>
    </xf>
    <xf numFmtId="0" fontId="22" fillId="6" borderId="3" xfId="0" applyFont="1" applyFill="1" applyBorder="1" applyAlignment="1">
      <alignment horizontal="left" vertical="center" wrapText="1"/>
    </xf>
    <xf numFmtId="0" fontId="22" fillId="6" borderId="3" xfId="0" applyFont="1" applyFill="1" applyBorder="1" applyAlignment="1">
      <alignment vertical="top" wrapText="1"/>
    </xf>
    <xf numFmtId="164" fontId="57" fillId="6" borderId="3" xfId="1" applyFont="1" applyFill="1" applyBorder="1" applyAlignment="1">
      <alignment vertical="center"/>
    </xf>
    <xf numFmtId="0" fontId="57" fillId="6" borderId="3" xfId="0" applyFont="1" applyFill="1" applyBorder="1" applyAlignment="1">
      <alignment horizontal="center" vertical="center"/>
    </xf>
    <xf numFmtId="0" fontId="57" fillId="6" borderId="3" xfId="0" applyFont="1" applyFill="1" applyBorder="1" applyAlignment="1">
      <alignment horizontal="center" vertical="center" wrapText="1"/>
    </xf>
    <xf numFmtId="0" fontId="58" fillId="6" borderId="3" xfId="0" applyFont="1" applyFill="1" applyBorder="1" applyAlignment="1">
      <alignment horizontal="left" vertical="center" wrapText="1"/>
    </xf>
    <xf numFmtId="0" fontId="57" fillId="6" borderId="3" xfId="0" applyFont="1" applyFill="1" applyBorder="1" applyAlignment="1">
      <alignment vertical="top" wrapText="1"/>
    </xf>
    <xf numFmtId="164" fontId="0" fillId="0" borderId="3" xfId="3" applyFont="1" applyFill="1" applyBorder="1" applyAlignment="1" applyProtection="1">
      <alignment vertical="center"/>
    </xf>
    <xf numFmtId="167" fontId="60" fillId="0" borderId="3" xfId="2" applyNumberFormat="1" applyFont="1" applyBorder="1" applyAlignment="1">
      <alignment horizontal="center" vertical="center" wrapText="1"/>
    </xf>
    <xf numFmtId="164" fontId="39" fillId="0" borderId="3" xfId="1" applyFont="1" applyFill="1" applyBorder="1" applyAlignment="1">
      <alignment horizontal="center" vertical="center"/>
    </xf>
    <xf numFmtId="164" fontId="39" fillId="0" borderId="3" xfId="2" applyNumberFormat="1" applyFont="1" applyBorder="1" applyAlignment="1">
      <alignment horizontal="center" vertical="center"/>
    </xf>
    <xf numFmtId="6" fontId="0" fillId="0" borderId="3" xfId="2" applyNumberFormat="1" applyFont="1" applyBorder="1" applyAlignment="1">
      <alignment horizontal="center" vertical="center" wrapText="1"/>
    </xf>
    <xf numFmtId="167" fontId="0" fillId="0" borderId="3" xfId="0" applyNumberFormat="1" applyBorder="1" applyAlignment="1">
      <alignment vertical="center"/>
    </xf>
    <xf numFmtId="0" fontId="52" fillId="0" borderId="3" xfId="0" applyFont="1" applyBorder="1" applyAlignment="1">
      <alignment vertical="center"/>
    </xf>
    <xf numFmtId="167" fontId="10" fillId="0" borderId="3" xfId="0" applyNumberFormat="1" applyFont="1" applyBorder="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2" fillId="10" borderId="3" xfId="0" applyFont="1" applyFill="1" applyBorder="1" applyAlignment="1">
      <alignment horizontal="center" vertical="center" wrapText="1"/>
    </xf>
    <xf numFmtId="8" fontId="3" fillId="0" borderId="3" xfId="0" applyNumberFormat="1" applyFont="1" applyBorder="1" applyAlignment="1">
      <alignment horizontal="center" vertical="center"/>
    </xf>
    <xf numFmtId="0" fontId="3" fillId="0" borderId="3" xfId="0" applyFont="1" applyBorder="1" applyAlignment="1">
      <alignment horizontal="left" vertical="center"/>
    </xf>
    <xf numFmtId="8" fontId="13" fillId="0" borderId="3" xfId="0" applyNumberFormat="1"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164" fontId="7" fillId="0" borderId="3" xfId="1" applyFont="1" applyBorder="1" applyAlignment="1">
      <alignment horizontal="center" vertical="center"/>
    </xf>
    <xf numFmtId="164" fontId="13" fillId="0" borderId="3" xfId="0" applyNumberFormat="1" applyFont="1" applyBorder="1" applyAlignment="1">
      <alignment vertical="center"/>
    </xf>
    <xf numFmtId="164" fontId="19" fillId="0" borderId="3" xfId="0" applyNumberFormat="1" applyFont="1" applyBorder="1" applyAlignment="1">
      <alignment vertical="center"/>
    </xf>
    <xf numFmtId="164" fontId="10" fillId="2" borderId="3" xfId="0" applyNumberFormat="1" applyFont="1" applyFill="1" applyBorder="1" applyAlignment="1">
      <alignment vertical="center"/>
    </xf>
    <xf numFmtId="164" fontId="39" fillId="2" borderId="3" xfId="0" applyNumberFormat="1" applyFont="1" applyFill="1" applyBorder="1" applyAlignment="1">
      <alignment vertical="center"/>
    </xf>
    <xf numFmtId="44" fontId="0" fillId="0" borderId="3" xfId="2" applyNumberFormat="1" applyFont="1" applyBorder="1" applyAlignment="1">
      <alignment horizontal="center" vertical="center" wrapText="1"/>
    </xf>
    <xf numFmtId="167" fontId="0" fillId="0" borderId="3" xfId="0" applyNumberFormat="1" applyBorder="1" applyAlignment="1">
      <alignment horizontal="center" vertical="center" wrapText="1"/>
    </xf>
    <xf numFmtId="0" fontId="39" fillId="2" borderId="3" xfId="0" applyFont="1" applyFill="1" applyBorder="1" applyAlignment="1">
      <alignment vertical="center"/>
    </xf>
    <xf numFmtId="0" fontId="39" fillId="2" borderId="3" xfId="0" applyFont="1" applyFill="1" applyBorder="1" applyAlignment="1">
      <alignment horizontal="center" vertical="center"/>
    </xf>
    <xf numFmtId="44" fontId="39" fillId="2" borderId="3" xfId="0" applyNumberFormat="1" applyFont="1" applyFill="1" applyBorder="1" applyAlignment="1">
      <alignment vertical="center"/>
    </xf>
    <xf numFmtId="4" fontId="52" fillId="0" borderId="3" xfId="0" applyNumberFormat="1" applyFont="1" applyBorder="1" applyAlignment="1">
      <alignment vertical="center"/>
    </xf>
    <xf numFmtId="8" fontId="52" fillId="0" borderId="3" xfId="0" applyNumberFormat="1" applyFont="1" applyBorder="1"/>
    <xf numFmtId="4" fontId="52" fillId="0" borderId="3" xfId="0" applyNumberFormat="1" applyFont="1" applyBorder="1"/>
    <xf numFmtId="8" fontId="52" fillId="0" borderId="3" xfId="0" applyNumberFormat="1" applyFont="1" applyBorder="1" applyAlignment="1">
      <alignment vertical="center"/>
    </xf>
    <xf numFmtId="164" fontId="56" fillId="6" borderId="3" xfId="0" applyNumberFormat="1" applyFont="1" applyFill="1" applyBorder="1" applyAlignment="1">
      <alignment vertical="center"/>
    </xf>
    <xf numFmtId="164" fontId="56" fillId="0" borderId="3" xfId="0" applyNumberFormat="1" applyFont="1" applyBorder="1" applyAlignment="1">
      <alignment vertical="center"/>
    </xf>
    <xf numFmtId="164" fontId="63" fillId="0" borderId="3" xfId="0" applyNumberFormat="1" applyFont="1" applyBorder="1" applyAlignment="1">
      <alignment vertical="center"/>
    </xf>
    <xf numFmtId="0" fontId="52" fillId="13" borderId="3" xfId="0" applyFont="1" applyFill="1" applyBorder="1" applyAlignment="1">
      <alignment horizontal="center" vertical="center" wrapText="1"/>
    </xf>
    <xf numFmtId="0" fontId="0" fillId="13" borderId="3" xfId="0" applyFill="1" applyBorder="1" applyAlignment="1">
      <alignment vertical="center" wrapText="1"/>
    </xf>
    <xf numFmtId="0" fontId="54" fillId="12" borderId="3" xfId="0" applyFont="1" applyFill="1" applyBorder="1" applyAlignment="1">
      <alignment horizontal="center" wrapText="1"/>
    </xf>
    <xf numFmtId="0" fontId="0" fillId="11" borderId="3" xfId="0" applyFill="1" applyBorder="1"/>
    <xf numFmtId="0" fontId="52" fillId="11" borderId="3" xfId="0" applyFont="1" applyFill="1" applyBorder="1" applyAlignment="1">
      <alignment horizontal="center" vertical="center" wrapText="1"/>
    </xf>
    <xf numFmtId="0" fontId="55" fillId="11" borderId="3" xfId="0" applyFont="1" applyFill="1" applyBorder="1" applyAlignment="1">
      <alignment horizontal="center" vertical="center" wrapText="1"/>
    </xf>
    <xf numFmtId="0" fontId="52" fillId="11" borderId="3" xfId="0" applyFont="1" applyFill="1" applyBorder="1" applyAlignment="1">
      <alignment vertical="center" wrapText="1"/>
    </xf>
    <xf numFmtId="0" fontId="54" fillId="11" borderId="3" xfId="0" applyFont="1" applyFill="1" applyBorder="1" applyAlignment="1">
      <alignment horizontal="left" vertical="center" wrapText="1"/>
    </xf>
    <xf numFmtId="0" fontId="52" fillId="11" borderId="3" xfId="0" applyFont="1" applyFill="1" applyBorder="1" applyAlignment="1">
      <alignment horizontal="center" vertical="center"/>
    </xf>
    <xf numFmtId="164" fontId="52" fillId="11" borderId="3" xfId="1" applyFont="1" applyFill="1" applyBorder="1" applyAlignment="1">
      <alignment vertical="center"/>
    </xf>
    <xf numFmtId="164" fontId="62" fillId="11" borderId="3" xfId="1" applyFont="1" applyFill="1" applyBorder="1" applyAlignment="1">
      <alignment vertical="center"/>
    </xf>
    <xf numFmtId="164" fontId="61" fillId="11" borderId="3" xfId="0" applyNumberFormat="1" applyFont="1" applyFill="1" applyBorder="1" applyAlignment="1">
      <alignment vertical="center"/>
    </xf>
    <xf numFmtId="0" fontId="39" fillId="0" borderId="3" xfId="0" applyFont="1" applyBorder="1" applyAlignment="1">
      <alignment horizontal="center" vertical="center"/>
    </xf>
    <xf numFmtId="0" fontId="39" fillId="0" borderId="3" xfId="2" applyFont="1" applyBorder="1" applyAlignment="1">
      <alignment horizontal="center" vertical="center"/>
    </xf>
    <xf numFmtId="1" fontId="51" fillId="0" borderId="3" xfId="0" applyNumberFormat="1" applyFont="1" applyBorder="1" applyAlignment="1">
      <alignment horizontal="center" vertical="center" wrapText="1"/>
    </xf>
    <xf numFmtId="164" fontId="52" fillId="0" borderId="3" xfId="1" applyFont="1" applyFill="1" applyBorder="1" applyAlignment="1">
      <alignment vertical="center" wrapText="1"/>
    </xf>
    <xf numFmtId="0" fontId="0" fillId="15" borderId="5" xfId="0" applyFill="1" applyBorder="1"/>
    <xf numFmtId="164" fontId="10" fillId="2" borderId="11" xfId="0" applyNumberFormat="1" applyFont="1" applyFill="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52" fillId="6" borderId="0" xfId="0" applyFont="1" applyFill="1" applyAlignment="1">
      <alignment horizontal="center" vertical="center" wrapText="1"/>
    </xf>
    <xf numFmtId="0" fontId="55" fillId="0" borderId="0" xfId="0" applyFont="1" applyAlignment="1">
      <alignment horizontal="center" vertical="center" wrapText="1"/>
    </xf>
    <xf numFmtId="0" fontId="55" fillId="6" borderId="0" xfId="0" applyFont="1" applyFill="1" applyAlignment="1">
      <alignment horizontal="center" vertical="center" wrapText="1"/>
    </xf>
    <xf numFmtId="0" fontId="52" fillId="6" borderId="0" xfId="0" applyFont="1" applyFill="1" applyAlignment="1">
      <alignment vertical="center" wrapText="1"/>
    </xf>
    <xf numFmtId="0" fontId="54" fillId="6" borderId="0" xfId="0" applyFont="1" applyFill="1" applyAlignment="1">
      <alignment horizontal="left" vertical="center" wrapText="1"/>
    </xf>
    <xf numFmtId="0" fontId="52" fillId="6" borderId="0" xfId="0" applyFont="1" applyFill="1" applyAlignment="1">
      <alignment horizontal="center" vertical="center"/>
    </xf>
    <xf numFmtId="164" fontId="52" fillId="6" borderId="0" xfId="1" applyFont="1" applyFill="1" applyBorder="1" applyAlignment="1">
      <alignment vertical="center" wrapText="1"/>
    </xf>
    <xf numFmtId="164" fontId="52" fillId="6" borderId="0" xfId="1" applyFont="1" applyFill="1" applyBorder="1" applyAlignment="1">
      <alignment vertical="center"/>
    </xf>
    <xf numFmtId="164" fontId="10" fillId="6" borderId="0" xfId="0" applyNumberFormat="1" applyFont="1" applyFill="1" applyAlignment="1">
      <alignment vertical="center"/>
    </xf>
    <xf numFmtId="0" fontId="51" fillId="6" borderId="0" xfId="0" applyFont="1" applyFill="1" applyAlignment="1">
      <alignment horizontal="center" vertical="center" wrapText="1"/>
    </xf>
    <xf numFmtId="0" fontId="51" fillId="6" borderId="0" xfId="0" applyFont="1" applyFill="1" applyAlignment="1">
      <alignment vertical="center" wrapText="1"/>
    </xf>
    <xf numFmtId="0" fontId="51" fillId="6" borderId="0" xfId="0" applyFont="1" applyFill="1" applyAlignment="1">
      <alignment horizontal="left" vertical="center" wrapText="1"/>
    </xf>
    <xf numFmtId="0" fontId="51" fillId="6" borderId="0" xfId="0" applyFont="1" applyFill="1" applyAlignment="1">
      <alignment horizontal="center" vertical="center"/>
    </xf>
    <xf numFmtId="167" fontId="51" fillId="6" borderId="0" xfId="1" applyNumberFormat="1" applyFont="1" applyFill="1" applyBorder="1" applyAlignment="1">
      <alignment horizontal="right" vertical="center"/>
    </xf>
    <xf numFmtId="1" fontId="51" fillId="6" borderId="0" xfId="0" applyNumberFormat="1" applyFont="1" applyFill="1" applyAlignment="1">
      <alignment horizontal="center" vertical="center"/>
    </xf>
    <xf numFmtId="164" fontId="51" fillId="6" borderId="0" xfId="1" applyFont="1" applyFill="1" applyBorder="1" applyAlignment="1">
      <alignment vertical="center"/>
    </xf>
    <xf numFmtId="164" fontId="50" fillId="6" borderId="0" xfId="0" applyNumberFormat="1" applyFont="1" applyFill="1" applyAlignment="1">
      <alignment vertical="center"/>
    </xf>
    <xf numFmtId="0" fontId="1" fillId="0" borderId="0" xfId="13"/>
    <xf numFmtId="0" fontId="1" fillId="0" borderId="3" xfId="13" applyBorder="1"/>
    <xf numFmtId="0" fontId="64" fillId="0" borderId="3" xfId="13" applyFont="1" applyBorder="1"/>
    <xf numFmtId="0" fontId="65" fillId="0" borderId="3" xfId="13" applyFont="1" applyBorder="1" applyAlignment="1">
      <alignment horizontal="left"/>
    </xf>
    <xf numFmtId="0" fontId="1" fillId="0" borderId="0" xfId="13" quotePrefix="1"/>
    <xf numFmtId="0" fontId="65" fillId="16" borderId="22" xfId="13" applyFont="1" applyFill="1" applyBorder="1"/>
    <xf numFmtId="0" fontId="65" fillId="16" borderId="23" xfId="13" applyFont="1" applyFill="1" applyBorder="1"/>
    <xf numFmtId="0" fontId="65" fillId="16" borderId="3" xfId="13" applyFont="1" applyFill="1" applyBorder="1"/>
    <xf numFmtId="0" fontId="65" fillId="0" borderId="5" xfId="13" applyFont="1" applyBorder="1"/>
    <xf numFmtId="0" fontId="67" fillId="0" borderId="24" xfId="13" applyFont="1" applyBorder="1" applyAlignment="1">
      <alignment horizontal="center" wrapText="1"/>
    </xf>
    <xf numFmtId="0" fontId="68" fillId="0" borderId="5" xfId="13" applyFont="1" applyBorder="1"/>
    <xf numFmtId="0" fontId="65" fillId="16" borderId="25" xfId="13" applyFont="1" applyFill="1" applyBorder="1"/>
    <xf numFmtId="44" fontId="1" fillId="0" borderId="0" xfId="13" applyNumberFormat="1"/>
    <xf numFmtId="0" fontId="66" fillId="4" borderId="3" xfId="13" applyFont="1" applyFill="1" applyBorder="1" applyAlignment="1">
      <alignment horizontal="left"/>
    </xf>
    <xf numFmtId="0" fontId="18" fillId="4" borderId="3" xfId="13" applyFont="1" applyFill="1" applyBorder="1"/>
    <xf numFmtId="8" fontId="65" fillId="4" borderId="3" xfId="13" applyNumberFormat="1" applyFont="1" applyFill="1" applyBorder="1" applyAlignment="1">
      <alignment horizontal="left"/>
    </xf>
    <xf numFmtId="0" fontId="18" fillId="4" borderId="3" xfId="13" applyFont="1" applyFill="1" applyBorder="1" applyAlignment="1">
      <alignment horizontal="left"/>
    </xf>
    <xf numFmtId="0" fontId="45" fillId="4" borderId="3" xfId="13" applyFont="1" applyFill="1" applyBorder="1" applyAlignment="1">
      <alignment horizontal="left"/>
    </xf>
    <xf numFmtId="0" fontId="64" fillId="4" borderId="3" xfId="13" applyFont="1" applyFill="1" applyBorder="1"/>
    <xf numFmtId="44" fontId="65" fillId="4" borderId="3" xfId="13" applyNumberFormat="1" applyFont="1" applyFill="1" applyBorder="1" applyAlignment="1">
      <alignment horizontal="left"/>
    </xf>
    <xf numFmtId="0" fontId="45" fillId="5" borderId="3" xfId="13" applyFont="1" applyFill="1" applyBorder="1" applyAlignment="1">
      <alignment horizontal="left"/>
    </xf>
    <xf numFmtId="0" fontId="64" fillId="5" borderId="3" xfId="13" applyFont="1" applyFill="1" applyBorder="1" applyAlignment="1">
      <alignment horizontal="left"/>
    </xf>
    <xf numFmtId="0" fontId="64" fillId="5" borderId="3" xfId="13" applyFont="1" applyFill="1" applyBorder="1"/>
    <xf numFmtId="8" fontId="65" fillId="5" borderId="3" xfId="13" applyNumberFormat="1" applyFont="1" applyFill="1" applyBorder="1" applyAlignment="1">
      <alignment horizontal="left"/>
    </xf>
    <xf numFmtId="0" fontId="18" fillId="5" borderId="3" xfId="13" applyFont="1" applyFill="1" applyBorder="1" applyAlignment="1">
      <alignment horizontal="left"/>
    </xf>
    <xf numFmtId="164" fontId="65" fillId="4" borderId="3" xfId="1" applyFont="1" applyFill="1" applyBorder="1" applyAlignment="1">
      <alignment horizontal="left"/>
    </xf>
    <xf numFmtId="164" fontId="65" fillId="5" borderId="3" xfId="1" applyFont="1" applyFill="1" applyBorder="1" applyAlignment="1">
      <alignment horizontal="left"/>
    </xf>
    <xf numFmtId="164" fontId="65" fillId="0" borderId="3" xfId="1" applyFont="1" applyBorder="1" applyAlignment="1">
      <alignment horizontal="left"/>
    </xf>
    <xf numFmtId="164" fontId="69" fillId="0" borderId="3" xfId="1" applyFont="1" applyBorder="1"/>
    <xf numFmtId="0" fontId="45" fillId="14" borderId="3" xfId="13" applyFont="1" applyFill="1" applyBorder="1" applyAlignment="1">
      <alignment horizontal="left"/>
    </xf>
    <xf numFmtId="0" fontId="64" fillId="14" borderId="3" xfId="13" applyFont="1" applyFill="1" applyBorder="1" applyAlignment="1">
      <alignment horizontal="left"/>
    </xf>
    <xf numFmtId="0" fontId="64" fillId="14" borderId="3" xfId="13" applyFont="1" applyFill="1" applyBorder="1"/>
    <xf numFmtId="164" fontId="65" fillId="14" borderId="3" xfId="1" applyFont="1" applyFill="1" applyBorder="1" applyAlignment="1">
      <alignment horizontal="left"/>
    </xf>
    <xf numFmtId="0" fontId="69" fillId="0" borderId="3" xfId="13" applyFont="1" applyBorder="1" applyAlignment="1">
      <alignment horizontal="left"/>
    </xf>
    <xf numFmtId="44" fontId="65" fillId="0" borderId="3" xfId="13" applyNumberFormat="1" applyFont="1" applyBorder="1" applyAlignment="1">
      <alignment horizontal="left"/>
    </xf>
    <xf numFmtId="164" fontId="63" fillId="4" borderId="3" xfId="1" applyFont="1" applyFill="1" applyBorder="1" applyAlignment="1">
      <alignment horizontal="right"/>
    </xf>
    <xf numFmtId="8" fontId="63" fillId="4" borderId="3" xfId="13" applyNumberFormat="1" applyFont="1" applyFill="1" applyBorder="1" applyAlignment="1">
      <alignment horizontal="right"/>
    </xf>
    <xf numFmtId="0" fontId="65" fillId="4" borderId="3" xfId="13" applyFont="1" applyFill="1" applyBorder="1" applyAlignment="1">
      <alignment horizontal="left"/>
    </xf>
    <xf numFmtId="44" fontId="65" fillId="14" borderId="3" xfId="13" applyNumberFormat="1" applyFont="1" applyFill="1" applyBorder="1" applyAlignment="1">
      <alignment horizontal="left"/>
    </xf>
    <xf numFmtId="44" fontId="65" fillId="5" borderId="3" xfId="13" applyNumberFormat="1" applyFont="1" applyFill="1" applyBorder="1" applyAlignment="1">
      <alignment horizontal="left"/>
    </xf>
    <xf numFmtId="0" fontId="42" fillId="18" borderId="0" xfId="13" applyFont="1" applyFill="1"/>
    <xf numFmtId="0" fontId="45" fillId="18" borderId="0" xfId="13" applyFont="1" applyFill="1"/>
    <xf numFmtId="0" fontId="42" fillId="18" borderId="0" xfId="13" applyFont="1" applyFill="1" applyAlignment="1">
      <alignment horizontal="right"/>
    </xf>
    <xf numFmtId="14" fontId="42" fillId="18" borderId="0" xfId="13" applyNumberFormat="1" applyFont="1" applyFill="1" applyAlignment="1">
      <alignment horizontal="left"/>
    </xf>
    <xf numFmtId="0" fontId="45" fillId="19" borderId="0" xfId="13" applyFont="1" applyFill="1" applyAlignment="1">
      <alignment horizontal="center" wrapText="1"/>
    </xf>
    <xf numFmtId="0" fontId="45" fillId="19" borderId="0" xfId="13" applyFont="1" applyFill="1" applyAlignment="1">
      <alignment wrapText="1"/>
    </xf>
    <xf numFmtId="0" fontId="42" fillId="0" borderId="3" xfId="13" applyFont="1" applyBorder="1"/>
    <xf numFmtId="8" fontId="42" fillId="17" borderId="3" xfId="13" applyNumberFormat="1" applyFont="1" applyFill="1" applyBorder="1"/>
    <xf numFmtId="44" fontId="42" fillId="17" borderId="3" xfId="6" applyFont="1" applyFill="1" applyBorder="1"/>
    <xf numFmtId="44" fontId="42" fillId="0" borderId="3" xfId="6" applyFont="1" applyFill="1" applyBorder="1"/>
    <xf numFmtId="44" fontId="42" fillId="0" borderId="3" xfId="6" applyFont="1" applyBorder="1"/>
    <xf numFmtId="8" fontId="42" fillId="0" borderId="3" xfId="13" applyNumberFormat="1" applyFont="1" applyBorder="1"/>
    <xf numFmtId="0" fontId="42" fillId="0" borderId="7" xfId="13" applyFont="1" applyBorder="1"/>
    <xf numFmtId="8" fontId="42" fillId="4" borderId="7" xfId="13" applyNumberFormat="1" applyFont="1" applyFill="1" applyBorder="1"/>
    <xf numFmtId="8" fontId="42" fillId="5" borderId="7" xfId="13" applyNumberFormat="1" applyFont="1" applyFill="1" applyBorder="1"/>
    <xf numFmtId="8" fontId="42" fillId="0" borderId="7" xfId="13" applyNumberFormat="1" applyFont="1" applyBorder="1"/>
    <xf numFmtId="8" fontId="42" fillId="0" borderId="26" xfId="13" applyNumberFormat="1" applyFont="1" applyBorder="1"/>
    <xf numFmtId="8" fontId="42" fillId="5" borderId="27" xfId="13" applyNumberFormat="1" applyFont="1" applyFill="1" applyBorder="1"/>
    <xf numFmtId="8" fontId="42" fillId="0" borderId="28" xfId="13" applyNumberFormat="1" applyFont="1" applyBorder="1"/>
    <xf numFmtId="0" fontId="42" fillId="11" borderId="7" xfId="13" applyFont="1" applyFill="1" applyBorder="1"/>
    <xf numFmtId="0" fontId="42" fillId="5" borderId="7" xfId="13" applyFont="1" applyFill="1" applyBorder="1"/>
    <xf numFmtId="0" fontId="70" fillId="0" borderId="7" xfId="13" applyFont="1" applyBorder="1"/>
    <xf numFmtId="0" fontId="45" fillId="9" borderId="29" xfId="13" applyFont="1" applyFill="1" applyBorder="1"/>
    <xf numFmtId="0" fontId="42" fillId="11" borderId="29" xfId="13" applyFont="1" applyFill="1" applyBorder="1"/>
    <xf numFmtId="8" fontId="45" fillId="9" borderId="29" xfId="13" applyNumberFormat="1" applyFont="1" applyFill="1" applyBorder="1"/>
    <xf numFmtId="8" fontId="42" fillId="9" borderId="29" xfId="13" applyNumberFormat="1" applyFont="1" applyFill="1" applyBorder="1"/>
    <xf numFmtId="0" fontId="45" fillId="4" borderId="0" xfId="13" applyFont="1" applyFill="1"/>
    <xf numFmtId="0" fontId="42" fillId="4" borderId="0" xfId="13" applyFont="1" applyFill="1"/>
    <xf numFmtId="8" fontId="45" fillId="4" borderId="0" xfId="13" applyNumberFormat="1" applyFont="1" applyFill="1"/>
    <xf numFmtId="8" fontId="42" fillId="4" borderId="0" xfId="13" applyNumberFormat="1" applyFont="1" applyFill="1"/>
    <xf numFmtId="0" fontId="42" fillId="11" borderId="30" xfId="13" applyFont="1" applyFill="1" applyBorder="1"/>
    <xf numFmtId="8" fontId="42" fillId="9" borderId="30" xfId="13" applyNumberFormat="1" applyFont="1" applyFill="1" applyBorder="1"/>
    <xf numFmtId="6" fontId="42" fillId="9" borderId="30" xfId="13" applyNumberFormat="1" applyFont="1" applyFill="1" applyBorder="1"/>
    <xf numFmtId="0" fontId="40" fillId="0" borderId="3" xfId="13" applyFont="1" applyBorder="1"/>
    <xf numFmtId="165" fontId="40" fillId="17" borderId="3" xfId="6" applyNumberFormat="1" applyFont="1" applyFill="1" applyBorder="1"/>
    <xf numFmtId="44" fontId="40" fillId="17" borderId="3" xfId="6" applyFont="1" applyFill="1" applyBorder="1"/>
    <xf numFmtId="44" fontId="40" fillId="0" borderId="3" xfId="6" applyFont="1" applyBorder="1"/>
    <xf numFmtId="165" fontId="42" fillId="17" borderId="3" xfId="6" applyNumberFormat="1" applyFont="1" applyFill="1" applyBorder="1"/>
    <xf numFmtId="165" fontId="45" fillId="11" borderId="29" xfId="13" applyNumberFormat="1" applyFont="1" applyFill="1" applyBorder="1"/>
    <xf numFmtId="165" fontId="45" fillId="4" borderId="0" xfId="13" applyNumberFormat="1" applyFont="1" applyFill="1"/>
    <xf numFmtId="165" fontId="42" fillId="4" borderId="0" xfId="13" applyNumberFormat="1" applyFont="1" applyFill="1"/>
    <xf numFmtId="8" fontId="42" fillId="0" borderId="0" xfId="13" applyNumberFormat="1" applyFont="1"/>
    <xf numFmtId="0" fontId="42" fillId="0" borderId="0" xfId="13" applyFont="1"/>
    <xf numFmtId="0" fontId="45" fillId="0" borderId="0" xfId="13" applyFont="1" applyAlignment="1">
      <alignment wrapText="1"/>
    </xf>
    <xf numFmtId="0" fontId="69" fillId="0" borderId="0" xfId="13" applyFont="1"/>
    <xf numFmtId="0" fontId="45" fillId="0" borderId="0" xfId="13" applyFont="1"/>
    <xf numFmtId="0" fontId="45" fillId="20" borderId="0" xfId="13" applyFont="1" applyFill="1"/>
    <xf numFmtId="0" fontId="42" fillId="20" borderId="0" xfId="13" applyFont="1" applyFill="1"/>
    <xf numFmtId="0" fontId="42" fillId="5" borderId="0" xfId="13" applyFont="1" applyFill="1"/>
    <xf numFmtId="167" fontId="71" fillId="5" borderId="0" xfId="6" applyNumberFormat="1" applyFont="1" applyFill="1"/>
    <xf numFmtId="0" fontId="72" fillId="0" borderId="0" xfId="13" applyFont="1"/>
    <xf numFmtId="167" fontId="1" fillId="0" borderId="0" xfId="13" applyNumberFormat="1"/>
    <xf numFmtId="8" fontId="1" fillId="0" borderId="0" xfId="13" applyNumberFormat="1"/>
    <xf numFmtId="0" fontId="42" fillId="7" borderId="0" xfId="13" applyFont="1" applyFill="1"/>
    <xf numFmtId="167" fontId="71" fillId="7" borderId="0" xfId="6" applyNumberFormat="1" applyFont="1" applyFill="1"/>
    <xf numFmtId="164" fontId="72" fillId="0" borderId="0" xfId="1" applyFont="1"/>
    <xf numFmtId="164" fontId="1" fillId="0" borderId="0" xfId="1" applyFont="1"/>
    <xf numFmtId="0" fontId="1" fillId="4" borderId="3" xfId="13" applyFill="1" applyBorder="1"/>
    <xf numFmtId="164" fontId="69" fillId="4" borderId="3" xfId="1" applyFont="1" applyFill="1" applyBorder="1"/>
    <xf numFmtId="0" fontId="45" fillId="13" borderId="3" xfId="13" applyFont="1" applyFill="1" applyBorder="1" applyAlignment="1">
      <alignment horizontal="left"/>
    </xf>
    <xf numFmtId="0" fontId="18" fillId="13" borderId="3" xfId="13" applyFont="1" applyFill="1" applyBorder="1" applyAlignment="1">
      <alignment horizontal="left"/>
    </xf>
    <xf numFmtId="0" fontId="64" fillId="13" borderId="3" xfId="13" applyFont="1" applyFill="1" applyBorder="1"/>
    <xf numFmtId="164" fontId="65" fillId="13" borderId="3" xfId="1" applyFont="1" applyFill="1" applyBorder="1" applyAlignment="1">
      <alignment horizontal="left"/>
    </xf>
    <xf numFmtId="0" fontId="64" fillId="13" borderId="3" xfId="13" applyFont="1" applyFill="1" applyBorder="1" applyAlignment="1">
      <alignment horizontal="left"/>
    </xf>
    <xf numFmtId="0" fontId="73" fillId="0" borderId="4" xfId="19" applyFont="1" applyBorder="1" applyAlignment="1">
      <alignment horizontal="center"/>
    </xf>
    <xf numFmtId="0" fontId="74" fillId="0" borderId="31" xfId="19" applyFont="1" applyBorder="1" applyAlignment="1">
      <alignment horizontal="left"/>
    </xf>
    <xf numFmtId="0" fontId="23" fillId="21" borderId="2" xfId="19" applyFill="1" applyBorder="1"/>
    <xf numFmtId="0" fontId="66" fillId="0" borderId="32" xfId="19" applyFont="1" applyBorder="1" applyAlignment="1">
      <alignment horizontal="center"/>
    </xf>
    <xf numFmtId="0" fontId="23" fillId="22" borderId="2" xfId="19" applyFill="1" applyBorder="1" applyAlignment="1">
      <alignment horizontal="centerContinuous"/>
    </xf>
    <xf numFmtId="0" fontId="23" fillId="22" borderId="21" xfId="19" applyFill="1" applyBorder="1" applyAlignment="1">
      <alignment horizontal="centerContinuous"/>
    </xf>
    <xf numFmtId="0" fontId="23" fillId="0" borderId="0" xfId="19"/>
    <xf numFmtId="0" fontId="73" fillId="0" borderId="0" xfId="19" applyFont="1" applyAlignment="1">
      <alignment horizontal="center"/>
    </xf>
    <xf numFmtId="0" fontId="73" fillId="0" borderId="33" xfId="19" applyFont="1" applyBorder="1" applyAlignment="1">
      <alignment horizontal="center"/>
    </xf>
    <xf numFmtId="0" fontId="75" fillId="23" borderId="34" xfId="19" applyFont="1" applyFill="1" applyBorder="1" applyAlignment="1">
      <alignment horizontal="left"/>
    </xf>
    <xf numFmtId="0" fontId="23" fillId="21" borderId="35" xfId="19" applyFill="1" applyBorder="1"/>
    <xf numFmtId="0" fontId="76" fillId="23" borderId="36" xfId="19" applyFont="1" applyFill="1" applyBorder="1" applyAlignment="1">
      <alignment horizontal="center"/>
    </xf>
    <xf numFmtId="0" fontId="77" fillId="22" borderId="35" xfId="19" applyFont="1" applyFill="1" applyBorder="1" applyAlignment="1">
      <alignment horizontal="centerContinuous"/>
    </xf>
    <xf numFmtId="0" fontId="23" fillId="22" borderId="20" xfId="19" applyFill="1" applyBorder="1" applyAlignment="1">
      <alignment horizontal="centerContinuous"/>
    </xf>
    <xf numFmtId="0" fontId="78" fillId="0" borderId="34" xfId="19" applyFont="1" applyBorder="1" applyAlignment="1">
      <alignment horizontal="left"/>
    </xf>
    <xf numFmtId="0" fontId="79" fillId="0" borderId="36" xfId="19" applyFont="1" applyBorder="1" applyAlignment="1">
      <alignment horizontal="center"/>
    </xf>
    <xf numFmtId="0" fontId="80" fillId="22" borderId="35" xfId="19" applyFont="1" applyFill="1" applyBorder="1" applyAlignment="1">
      <alignment horizontal="centerContinuous"/>
    </xf>
    <xf numFmtId="49" fontId="79" fillId="0" borderId="36" xfId="19" applyNumberFormat="1" applyFont="1" applyBorder="1" applyAlignment="1">
      <alignment horizontal="center"/>
    </xf>
    <xf numFmtId="0" fontId="66" fillId="0" borderId="33" xfId="19" applyFont="1" applyBorder="1" applyAlignment="1">
      <alignment horizontal="center"/>
    </xf>
    <xf numFmtId="0" fontId="66" fillId="0" borderId="34" xfId="19" applyFont="1" applyBorder="1" applyAlignment="1">
      <alignment horizontal="center"/>
    </xf>
    <xf numFmtId="0" fontId="73" fillId="0" borderId="36" xfId="19" applyFont="1" applyBorder="1" applyAlignment="1">
      <alignment horizontal="center"/>
    </xf>
    <xf numFmtId="0" fontId="81" fillId="22" borderId="35" xfId="19" applyFont="1" applyFill="1" applyBorder="1" applyAlignment="1">
      <alignment horizontal="centerContinuous"/>
    </xf>
    <xf numFmtId="0" fontId="82" fillId="21" borderId="33" xfId="19" applyFont="1" applyFill="1" applyBorder="1"/>
    <xf numFmtId="0" fontId="82" fillId="21" borderId="34" xfId="19" applyFont="1" applyFill="1" applyBorder="1"/>
    <xf numFmtId="0" fontId="82" fillId="21" borderId="35" xfId="19" applyFont="1" applyFill="1" applyBorder="1"/>
    <xf numFmtId="0" fontId="82" fillId="21" borderId="36" xfId="19" applyFont="1" applyFill="1" applyBorder="1"/>
    <xf numFmtId="0" fontId="82" fillId="21" borderId="35" xfId="19" applyFont="1" applyFill="1" applyBorder="1" applyAlignment="1">
      <alignment horizontal="centerContinuous"/>
    </xf>
    <xf numFmtId="0" fontId="23" fillId="21" borderId="20" xfId="19" applyFill="1" applyBorder="1" applyAlignment="1">
      <alignment horizontal="centerContinuous"/>
    </xf>
    <xf numFmtId="0" fontId="82" fillId="24" borderId="0" xfId="19" applyFont="1" applyFill="1"/>
    <xf numFmtId="0" fontId="66" fillId="0" borderId="34" xfId="19" applyFont="1" applyBorder="1"/>
    <xf numFmtId="42" fontId="23" fillId="0" borderId="36" xfId="11" applyNumberFormat="1" applyBorder="1"/>
    <xf numFmtId="0" fontId="66" fillId="12" borderId="33" xfId="19" applyFont="1" applyFill="1" applyBorder="1" applyAlignment="1">
      <alignment horizontal="center"/>
    </xf>
    <xf numFmtId="0" fontId="66" fillId="12" borderId="34" xfId="19" applyFont="1" applyFill="1" applyBorder="1"/>
    <xf numFmtId="42" fontId="23" fillId="12" borderId="37" xfId="11" applyNumberFormat="1" applyFill="1" applyBorder="1"/>
    <xf numFmtId="0" fontId="23" fillId="0" borderId="33" xfId="19" applyBorder="1"/>
    <xf numFmtId="0" fontId="66" fillId="0" borderId="40" xfId="19" applyFont="1" applyBorder="1" applyAlignment="1">
      <alignment horizontal="right"/>
    </xf>
    <xf numFmtId="42" fontId="79" fillId="0" borderId="36" xfId="11" applyNumberFormat="1" applyFont="1" applyBorder="1"/>
    <xf numFmtId="0" fontId="23" fillId="0" borderId="6" xfId="19" applyBorder="1"/>
    <xf numFmtId="0" fontId="66" fillId="26" borderId="40" xfId="19" applyFont="1" applyFill="1" applyBorder="1" applyAlignment="1">
      <alignment horizontal="right"/>
    </xf>
    <xf numFmtId="0" fontId="23" fillId="26" borderId="41" xfId="19" applyFill="1" applyBorder="1"/>
    <xf numFmtId="42" fontId="84" fillId="26" borderId="42" xfId="11" applyNumberFormat="1" applyFont="1" applyFill="1" applyBorder="1"/>
    <xf numFmtId="0" fontId="23" fillId="0" borderId="38" xfId="19" applyBorder="1"/>
    <xf numFmtId="0" fontId="66" fillId="0" borderId="43" xfId="19" applyFont="1" applyBorder="1" applyAlignment="1">
      <alignment horizontal="right"/>
    </xf>
    <xf numFmtId="0" fontId="23" fillId="21" borderId="38" xfId="19" applyFill="1" applyBorder="1"/>
    <xf numFmtId="42" fontId="23" fillId="0" borderId="37" xfId="19" applyNumberFormat="1" applyBorder="1"/>
    <xf numFmtId="0" fontId="85" fillId="0" borderId="0" xfId="19" applyFont="1"/>
    <xf numFmtId="0" fontId="86" fillId="0" borderId="0" xfId="19" applyFont="1"/>
    <xf numFmtId="0" fontId="87" fillId="0" borderId="0" xfId="19" applyFont="1"/>
    <xf numFmtId="0" fontId="73" fillId="0" borderId="19" xfId="19" applyFont="1" applyBorder="1" applyAlignment="1">
      <alignment horizontal="center"/>
    </xf>
    <xf numFmtId="0" fontId="74" fillId="0" borderId="45" xfId="19" applyFont="1" applyBorder="1" applyAlignment="1">
      <alignment horizontal="left"/>
    </xf>
    <xf numFmtId="0" fontId="23" fillId="21" borderId="46" xfId="19" applyFill="1" applyBorder="1"/>
    <xf numFmtId="0" fontId="66" fillId="0" borderId="18" xfId="19" applyFont="1" applyBorder="1" applyAlignment="1">
      <alignment horizontal="center"/>
    </xf>
    <xf numFmtId="0" fontId="66" fillId="6" borderId="18" xfId="19" applyFont="1" applyFill="1" applyBorder="1" applyAlignment="1">
      <alignment horizontal="center"/>
    </xf>
    <xf numFmtId="0" fontId="88" fillId="0" borderId="18" xfId="19" applyFont="1" applyBorder="1" applyAlignment="1">
      <alignment horizontal="center"/>
    </xf>
    <xf numFmtId="0" fontId="89" fillId="0" borderId="18" xfId="19" applyFont="1" applyBorder="1" applyAlignment="1">
      <alignment horizontal="center"/>
    </xf>
    <xf numFmtId="0" fontId="23" fillId="22" borderId="19" xfId="19" applyFill="1" applyBorder="1" applyAlignment="1">
      <alignment horizontal="centerContinuous"/>
    </xf>
    <xf numFmtId="0" fontId="23" fillId="22" borderId="45" xfId="19" applyFill="1" applyBorder="1" applyAlignment="1">
      <alignment horizontal="centerContinuous"/>
    </xf>
    <xf numFmtId="0" fontId="73" fillId="0" borderId="35" xfId="19" applyFont="1" applyBorder="1" applyAlignment="1">
      <alignment horizontal="center"/>
    </xf>
    <xf numFmtId="0" fontId="23" fillId="21" borderId="0" xfId="19" applyFill="1"/>
    <xf numFmtId="0" fontId="90" fillId="23" borderId="36" xfId="19" applyFont="1" applyFill="1" applyBorder="1" applyAlignment="1">
      <alignment horizontal="center"/>
    </xf>
    <xf numFmtId="0" fontId="91" fillId="23" borderId="36" xfId="19" applyFont="1" applyFill="1" applyBorder="1" applyAlignment="1">
      <alignment horizontal="center"/>
    </xf>
    <xf numFmtId="0" fontId="23" fillId="22" borderId="34" xfId="19" applyFill="1" applyBorder="1" applyAlignment="1">
      <alignment horizontal="centerContinuous"/>
    </xf>
    <xf numFmtId="0" fontId="79" fillId="6" borderId="36" xfId="19" applyFont="1" applyFill="1" applyBorder="1" applyAlignment="1">
      <alignment horizontal="center"/>
    </xf>
    <xf numFmtId="0" fontId="92" fillId="0" borderId="36" xfId="19" applyFont="1" applyBorder="1" applyAlignment="1">
      <alignment horizontal="center"/>
    </xf>
    <xf numFmtId="0" fontId="93" fillId="0" borderId="36" xfId="19" applyFont="1" applyBorder="1" applyAlignment="1">
      <alignment horizontal="center"/>
    </xf>
    <xf numFmtId="49" fontId="79" fillId="6" borderId="36" xfId="19" applyNumberFormat="1" applyFont="1" applyFill="1" applyBorder="1" applyAlignment="1">
      <alignment horizontal="center"/>
    </xf>
    <xf numFmtId="49" fontId="92" fillId="0" borderId="36" xfId="19" applyNumberFormat="1" applyFont="1" applyBorder="1" applyAlignment="1">
      <alignment horizontal="center"/>
    </xf>
    <xf numFmtId="49" fontId="93" fillId="0" borderId="36" xfId="19" applyNumberFormat="1" applyFont="1" applyBorder="1" applyAlignment="1">
      <alignment horizontal="center"/>
    </xf>
    <xf numFmtId="0" fontId="66" fillId="0" borderId="35" xfId="19" applyFont="1" applyBorder="1" applyAlignment="1">
      <alignment horizontal="center"/>
    </xf>
    <xf numFmtId="0" fontId="73" fillId="6" borderId="36" xfId="19" applyFont="1" applyFill="1" applyBorder="1" applyAlignment="1">
      <alignment horizontal="center"/>
    </xf>
    <xf numFmtId="0" fontId="94" fillId="0" borderId="36" xfId="19" applyFont="1" applyBorder="1" applyAlignment="1">
      <alignment horizontal="center"/>
    </xf>
    <xf numFmtId="0" fontId="95" fillId="0" borderId="36" xfId="19" applyFont="1" applyBorder="1" applyAlignment="1">
      <alignment horizontal="center"/>
    </xf>
    <xf numFmtId="0" fontId="82" fillId="21" borderId="0" xfId="19" applyFont="1" applyFill="1"/>
    <xf numFmtId="0" fontId="88" fillId="21" borderId="36" xfId="19" applyFont="1" applyFill="1" applyBorder="1"/>
    <xf numFmtId="0" fontId="89" fillId="21" borderId="36" xfId="19" applyFont="1" applyFill="1" applyBorder="1"/>
    <xf numFmtId="0" fontId="23" fillId="21" borderId="34" xfId="19" applyFill="1" applyBorder="1" applyAlignment="1">
      <alignment horizontal="centerContinuous"/>
    </xf>
    <xf numFmtId="42" fontId="96" fillId="0" borderId="36" xfId="11" applyNumberFormat="1" applyFont="1" applyBorder="1"/>
    <xf numFmtId="42" fontId="87" fillId="0" borderId="36" xfId="11" applyNumberFormat="1" applyFont="1" applyBorder="1"/>
    <xf numFmtId="0" fontId="66" fillId="12" borderId="35" xfId="19" applyFont="1" applyFill="1" applyBorder="1" applyAlignment="1">
      <alignment horizontal="center"/>
    </xf>
    <xf numFmtId="42" fontId="96" fillId="12" borderId="37" xfId="11" applyNumberFormat="1" applyFont="1" applyFill="1" applyBorder="1"/>
    <xf numFmtId="42" fontId="87" fillId="12" borderId="37" xfId="11" applyNumberFormat="1" applyFont="1" applyFill="1" applyBorder="1"/>
    <xf numFmtId="0" fontId="23" fillId="0" borderId="35" xfId="19" applyBorder="1"/>
    <xf numFmtId="42" fontId="92" fillId="0" borderId="36" xfId="11" applyNumberFormat="1" applyFont="1" applyBorder="1"/>
    <xf numFmtId="42" fontId="93" fillId="0" borderId="36" xfId="11" applyNumberFormat="1" applyFont="1" applyBorder="1"/>
    <xf numFmtId="0" fontId="23" fillId="26" borderId="35" xfId="19" applyFill="1" applyBorder="1"/>
    <xf numFmtId="42" fontId="84" fillId="26" borderId="36" xfId="11" applyNumberFormat="1" applyFont="1" applyFill="1" applyBorder="1"/>
    <xf numFmtId="42" fontId="97" fillId="26" borderId="36" xfId="11" applyNumberFormat="1" applyFont="1" applyFill="1" applyBorder="1"/>
    <xf numFmtId="42" fontId="86" fillId="26" borderId="36" xfId="11" applyNumberFormat="1" applyFont="1" applyFill="1" applyBorder="1"/>
    <xf numFmtId="0" fontId="66" fillId="0" borderId="47" xfId="19" applyFont="1" applyBorder="1" applyAlignment="1">
      <alignment horizontal="right"/>
    </xf>
    <xf numFmtId="42" fontId="96" fillId="0" borderId="37" xfId="19" applyNumberFormat="1" applyFont="1" applyBorder="1"/>
    <xf numFmtId="42" fontId="87" fillId="0" borderId="37" xfId="19" applyNumberFormat="1" applyFont="1" applyBorder="1"/>
    <xf numFmtId="0" fontId="96" fillId="0" borderId="0" xfId="19" applyFont="1"/>
    <xf numFmtId="0" fontId="23" fillId="24" borderId="0" xfId="19" applyFill="1"/>
    <xf numFmtId="44" fontId="98" fillId="0" borderId="0" xfId="11" applyFont="1"/>
    <xf numFmtId="0" fontId="23" fillId="21" borderId="19" xfId="19" applyFill="1" applyBorder="1"/>
    <xf numFmtId="0" fontId="76" fillId="0" borderId="36" xfId="19" applyFont="1" applyBorder="1" applyAlignment="1">
      <alignment horizontal="center"/>
    </xf>
    <xf numFmtId="42" fontId="0" fillId="0" borderId="36" xfId="11" applyNumberFormat="1" applyFont="1" applyBorder="1"/>
    <xf numFmtId="42" fontId="0" fillId="0" borderId="36" xfId="11" applyNumberFormat="1" applyFont="1" applyBorder="1" applyAlignment="1">
      <alignment wrapText="1"/>
    </xf>
    <xf numFmtId="168" fontId="0" fillId="12" borderId="36" xfId="11" applyNumberFormat="1" applyFont="1" applyFill="1" applyBorder="1"/>
    <xf numFmtId="0" fontId="23" fillId="0" borderId="48" xfId="19" applyBorder="1"/>
    <xf numFmtId="0" fontId="66" fillId="0" borderId="49" xfId="19" applyFont="1" applyBorder="1" applyAlignment="1">
      <alignment horizontal="right"/>
    </xf>
    <xf numFmtId="0" fontId="23" fillId="21" borderId="50" xfId="19" applyFill="1" applyBorder="1"/>
    <xf numFmtId="42" fontId="79" fillId="0" borderId="51" xfId="11" applyNumberFormat="1" applyFont="1" applyBorder="1"/>
    <xf numFmtId="42" fontId="79" fillId="0" borderId="52" xfId="11" applyNumberFormat="1" applyFont="1" applyBorder="1"/>
    <xf numFmtId="42" fontId="79" fillId="0" borderId="12" xfId="11" applyNumberFormat="1" applyFont="1" applyBorder="1"/>
    <xf numFmtId="42" fontId="79" fillId="0" borderId="0" xfId="11" applyNumberFormat="1" applyFont="1"/>
    <xf numFmtId="0" fontId="99" fillId="0" borderId="0" xfId="19" applyFont="1"/>
    <xf numFmtId="42" fontId="85" fillId="0" borderId="0" xfId="19" applyNumberFormat="1" applyFont="1"/>
    <xf numFmtId="0" fontId="66" fillId="11" borderId="18" xfId="19" applyFont="1" applyFill="1" applyBorder="1" applyAlignment="1">
      <alignment horizontal="center"/>
    </xf>
    <xf numFmtId="0" fontId="66" fillId="0" borderId="19" xfId="19" applyFont="1" applyBorder="1" applyAlignment="1">
      <alignment horizontal="center"/>
    </xf>
    <xf numFmtId="0" fontId="76" fillId="23" borderId="35" xfId="19" applyFont="1" applyFill="1" applyBorder="1" applyAlignment="1">
      <alignment horizontal="center"/>
    </xf>
    <xf numFmtId="0" fontId="76" fillId="0" borderId="35" xfId="19" applyFont="1" applyBorder="1" applyAlignment="1">
      <alignment horizontal="center"/>
    </xf>
    <xf numFmtId="0" fontId="79" fillId="0" borderId="35" xfId="19" applyFont="1" applyBorder="1" applyAlignment="1">
      <alignment horizontal="center"/>
    </xf>
    <xf numFmtId="49" fontId="79" fillId="0" borderId="35" xfId="19" applyNumberFormat="1" applyFont="1" applyBorder="1" applyAlignment="1">
      <alignment horizontal="center"/>
    </xf>
    <xf numFmtId="42" fontId="0" fillId="11" borderId="36" xfId="11" applyNumberFormat="1" applyFont="1" applyFill="1" applyBorder="1"/>
    <xf numFmtId="42" fontId="0" fillId="0" borderId="35" xfId="11" applyNumberFormat="1" applyFont="1" applyBorder="1"/>
    <xf numFmtId="42" fontId="23" fillId="0" borderId="0" xfId="19" applyNumberFormat="1"/>
    <xf numFmtId="168" fontId="0" fillId="12" borderId="35" xfId="11" applyNumberFormat="1" applyFont="1" applyFill="1" applyBorder="1"/>
    <xf numFmtId="9" fontId="23" fillId="0" borderId="0" xfId="19" applyNumberFormat="1"/>
    <xf numFmtId="0" fontId="23" fillId="0" borderId="15" xfId="19" applyBorder="1"/>
    <xf numFmtId="0" fontId="23" fillId="21" borderId="15" xfId="19" applyFill="1" applyBorder="1"/>
    <xf numFmtId="42" fontId="79" fillId="11" borderId="12" xfId="11" applyNumberFormat="1" applyFont="1" applyFill="1" applyBorder="1"/>
    <xf numFmtId="42" fontId="79" fillId="0" borderId="15" xfId="11" applyNumberFormat="1" applyFont="1" applyBorder="1"/>
    <xf numFmtId="44" fontId="23" fillId="0" borderId="0" xfId="19" applyNumberFormat="1"/>
    <xf numFmtId="44" fontId="100" fillId="0" borderId="0" xfId="19" applyNumberFormat="1" applyFont="1"/>
    <xf numFmtId="0" fontId="98" fillId="27" borderId="0" xfId="19" applyFont="1" applyFill="1"/>
    <xf numFmtId="169" fontId="98" fillId="27" borderId="0" xfId="19" applyNumberFormat="1" applyFont="1" applyFill="1"/>
    <xf numFmtId="0" fontId="100" fillId="0" borderId="0" xfId="19" applyFont="1"/>
    <xf numFmtId="0" fontId="98" fillId="28" borderId="0" xfId="19" applyFont="1" applyFill="1"/>
    <xf numFmtId="6" fontId="98" fillId="28" borderId="0" xfId="19" applyNumberFormat="1" applyFont="1" applyFill="1"/>
    <xf numFmtId="8" fontId="42" fillId="17" borderId="3" xfId="6" applyNumberFormat="1" applyFont="1" applyFill="1" applyBorder="1"/>
    <xf numFmtId="8" fontId="40" fillId="17" borderId="3" xfId="6" applyNumberFormat="1" applyFont="1" applyFill="1" applyBorder="1"/>
    <xf numFmtId="168" fontId="42" fillId="0" borderId="3" xfId="6" applyNumberFormat="1" applyFont="1" applyFill="1" applyBorder="1"/>
    <xf numFmtId="6" fontId="45" fillId="9" borderId="29" xfId="13" applyNumberFormat="1" applyFont="1" applyFill="1" applyBorder="1"/>
    <xf numFmtId="8" fontId="45" fillId="0" borderId="0" xfId="13" applyNumberFormat="1" applyFont="1"/>
    <xf numFmtId="6" fontId="45" fillId="0" borderId="0" xfId="13" applyNumberFormat="1" applyFont="1"/>
    <xf numFmtId="8" fontId="42" fillId="0" borderId="3" xfId="6" applyNumberFormat="1" applyFont="1" applyBorder="1"/>
    <xf numFmtId="8" fontId="40" fillId="0" borderId="3" xfId="6" applyNumberFormat="1" applyFont="1" applyBorder="1"/>
    <xf numFmtId="0" fontId="101" fillId="0" borderId="3" xfId="0" applyFont="1" applyBorder="1" applyAlignment="1">
      <alignment vertical="center" wrapText="1"/>
    </xf>
    <xf numFmtId="44" fontId="102" fillId="0" borderId="3" xfId="0" applyNumberFormat="1" applyFont="1" applyBorder="1" applyAlignment="1">
      <alignment vertical="center" wrapText="1"/>
    </xf>
    <xf numFmtId="164" fontId="103" fillId="0" borderId="3" xfId="1" applyFont="1" applyFill="1" applyBorder="1" applyAlignment="1">
      <alignment vertical="center"/>
    </xf>
    <xf numFmtId="164" fontId="103" fillId="0" borderId="3" xfId="1" applyFont="1" applyBorder="1" applyAlignment="1">
      <alignment vertical="center" wrapText="1"/>
    </xf>
    <xf numFmtId="0" fontId="103" fillId="0" borderId="3" xfId="0" applyFont="1" applyBorder="1" applyAlignment="1">
      <alignment horizontal="center" vertical="center"/>
    </xf>
    <xf numFmtId="0" fontId="103" fillId="0" borderId="3" xfId="0" applyFont="1" applyBorder="1" applyAlignment="1">
      <alignment horizontal="center" vertical="center" wrapText="1"/>
    </xf>
    <xf numFmtId="0" fontId="103" fillId="0" borderId="3" xfId="0" applyFont="1" applyBorder="1" applyAlignment="1">
      <alignment horizontal="left" vertical="center" wrapText="1"/>
    </xf>
    <xf numFmtId="0" fontId="103" fillId="0" borderId="3" xfId="0" applyFont="1" applyBorder="1" applyAlignment="1">
      <alignment vertical="center" wrapText="1"/>
    </xf>
    <xf numFmtId="0" fontId="103" fillId="6" borderId="3" xfId="0" applyFont="1" applyFill="1" applyBorder="1" applyAlignment="1">
      <alignment horizontal="center" vertical="center" wrapText="1"/>
    </xf>
    <xf numFmtId="0" fontId="104" fillId="0" borderId="7" xfId="0" applyFont="1" applyBorder="1" applyAlignment="1">
      <alignment horizontal="center" vertical="center" wrapText="1"/>
    </xf>
    <xf numFmtId="0" fontId="105" fillId="0" borderId="7" xfId="0" applyFont="1" applyBorder="1" applyAlignment="1">
      <alignment horizontal="center" vertical="center" wrapText="1"/>
    </xf>
    <xf numFmtId="164" fontId="3" fillId="4" borderId="1" xfId="1" applyFont="1" applyFill="1" applyBorder="1" applyAlignment="1">
      <alignment horizontal="center" vertical="center" wrapText="1"/>
    </xf>
    <xf numFmtId="0" fontId="105" fillId="0" borderId="3" xfId="0" applyFont="1" applyBorder="1" applyAlignment="1">
      <alignment horizontal="center" vertical="center" wrapText="1"/>
    </xf>
    <xf numFmtId="164" fontId="103" fillId="0" borderId="3" xfId="1" applyFont="1" applyBorder="1" applyAlignment="1">
      <alignment vertical="center"/>
    </xf>
    <xf numFmtId="0" fontId="103" fillId="0" borderId="7" xfId="0" applyFont="1" applyBorder="1" applyAlignment="1">
      <alignment horizontal="center" vertical="center"/>
    </xf>
    <xf numFmtId="44" fontId="7" fillId="0" borderId="3" xfId="0" applyNumberFormat="1" applyFont="1" applyBorder="1" applyAlignment="1">
      <alignment vertical="center" wrapText="1"/>
    </xf>
    <xf numFmtId="0" fontId="3" fillId="0" borderId="7" xfId="0" applyFont="1" applyBorder="1" applyAlignment="1">
      <alignment horizontal="center" vertical="center" wrapText="1"/>
    </xf>
    <xf numFmtId="164" fontId="3" fillId="0" borderId="7" xfId="1" applyFont="1" applyFill="1" applyBorder="1" applyAlignment="1">
      <alignment vertical="center" wrapText="1"/>
    </xf>
    <xf numFmtId="0" fontId="106" fillId="0" borderId="7" xfId="0" applyFont="1" applyBorder="1" applyAlignment="1">
      <alignment horizontal="left" vertical="center" wrapText="1"/>
    </xf>
    <xf numFmtId="0" fontId="107" fillId="0" borderId="7" xfId="0" applyFont="1" applyBorder="1" applyAlignment="1">
      <alignment vertical="center" wrapText="1"/>
    </xf>
    <xf numFmtId="0" fontId="12" fillId="0" borderId="7" xfId="0" applyFont="1" applyBorder="1" applyAlignment="1">
      <alignment horizontal="center" vertical="center" wrapText="1"/>
    </xf>
    <xf numFmtId="0" fontId="108" fillId="0" borderId="7" xfId="0" applyFont="1" applyBorder="1" applyAlignment="1">
      <alignment horizontal="center" vertical="center" wrapText="1"/>
    </xf>
    <xf numFmtId="0" fontId="109" fillId="0" borderId="7" xfId="0" applyFont="1" applyBorder="1" applyAlignment="1">
      <alignment horizontal="center" vertical="center" wrapText="1"/>
    </xf>
    <xf numFmtId="0" fontId="110" fillId="0" borderId="3" xfId="0" applyFont="1" applyBorder="1" applyAlignment="1">
      <alignment vertical="center" wrapText="1"/>
    </xf>
    <xf numFmtId="0" fontId="106" fillId="0" borderId="3" xfId="0" applyFont="1" applyBorder="1" applyAlignment="1">
      <alignment horizontal="left" vertical="center" wrapText="1"/>
    </xf>
    <xf numFmtId="0" fontId="107" fillId="0" borderId="3" xfId="0" applyFont="1" applyBorder="1" applyAlignment="1">
      <alignment vertical="center" wrapText="1"/>
    </xf>
    <xf numFmtId="0" fontId="104" fillId="0" borderId="3" xfId="0" applyFont="1" applyBorder="1" applyAlignment="1">
      <alignment horizontal="center" vertical="center" wrapText="1"/>
    </xf>
    <xf numFmtId="0" fontId="109" fillId="0" borderId="3" xfId="0" applyFont="1" applyBorder="1" applyAlignment="1">
      <alignment horizontal="center" vertical="center" wrapText="1"/>
    </xf>
    <xf numFmtId="164" fontId="3" fillId="0" borderId="3" xfId="1" applyFont="1" applyFill="1" applyBorder="1" applyAlignment="1">
      <alignment horizontal="center" vertical="center"/>
    </xf>
    <xf numFmtId="164" fontId="49" fillId="0" borderId="3" xfId="3" applyFont="1" applyFill="1" applyBorder="1" applyAlignment="1">
      <alignment vertical="center" wrapText="1"/>
    </xf>
    <xf numFmtId="0" fontId="49" fillId="0" borderId="3" xfId="0" applyFont="1" applyBorder="1" applyAlignment="1">
      <alignment horizontal="center" vertical="center"/>
    </xf>
    <xf numFmtId="0" fontId="49" fillId="0" borderId="3" xfId="2" applyFont="1" applyBorder="1" applyAlignment="1">
      <alignment horizontal="center" vertical="center"/>
    </xf>
    <xf numFmtId="0" fontId="111" fillId="0" borderId="3" xfId="0" applyFont="1" applyBorder="1" applyAlignment="1">
      <alignment horizontal="left" vertical="center" wrapText="1"/>
    </xf>
    <xf numFmtId="0" fontId="109" fillId="0" borderId="3" xfId="0" applyFont="1" applyBorder="1" applyAlignment="1">
      <alignment horizontal="left" vertical="center" wrapText="1"/>
    </xf>
    <xf numFmtId="0" fontId="112" fillId="0" borderId="3" xfId="2" applyFont="1" applyBorder="1" applyAlignment="1">
      <alignment horizontal="center" vertical="center" wrapText="1"/>
    </xf>
    <xf numFmtId="164" fontId="49" fillId="0" borderId="3" xfId="1" applyFont="1" applyBorder="1" applyAlignment="1">
      <alignment vertical="center"/>
    </xf>
    <xf numFmtId="0" fontId="15" fillId="6" borderId="3" xfId="0" applyFont="1" applyFill="1" applyBorder="1" applyAlignment="1">
      <alignment horizontal="center" vertical="center" wrapText="1"/>
    </xf>
    <xf numFmtId="0" fontId="113" fillId="0" borderId="0" xfId="0" applyFont="1" applyAlignment="1">
      <alignment vertical="center" wrapText="1"/>
    </xf>
    <xf numFmtId="8" fontId="42" fillId="17" borderId="0" xfId="13" applyNumberFormat="1" applyFont="1" applyFill="1"/>
    <xf numFmtId="0" fontId="46" fillId="0" borderId="3" xfId="0" applyFont="1" applyBorder="1" applyAlignment="1">
      <alignment vertical="center" wrapText="1"/>
    </xf>
    <xf numFmtId="164" fontId="114" fillId="0" borderId="3" xfId="0" applyNumberFormat="1" applyFont="1" applyBorder="1" applyAlignment="1">
      <alignment vertical="center"/>
    </xf>
    <xf numFmtId="164" fontId="46" fillId="0" borderId="3" xfId="1" applyFont="1" applyBorder="1" applyAlignment="1">
      <alignment vertical="center"/>
    </xf>
    <xf numFmtId="0" fontId="46" fillId="0" borderId="3" xfId="0" applyFont="1" applyBorder="1" applyAlignment="1">
      <alignment horizontal="center" vertical="center"/>
    </xf>
    <xf numFmtId="0" fontId="46" fillId="0" borderId="3" xfId="0" applyFont="1" applyBorder="1" applyAlignment="1">
      <alignment horizontal="center" vertical="center" wrapText="1"/>
    </xf>
    <xf numFmtId="0" fontId="115" fillId="0" borderId="3" xfId="0" applyFont="1" applyBorder="1" applyAlignment="1">
      <alignment horizontal="left" vertical="center" wrapText="1"/>
    </xf>
    <xf numFmtId="0" fontId="116" fillId="6" borderId="3" xfId="0" applyFont="1" applyFill="1" applyBorder="1" applyAlignment="1">
      <alignment horizontal="center" vertical="center" wrapText="1"/>
    </xf>
    <xf numFmtId="0" fontId="117" fillId="0" borderId="0" xfId="0" applyFont="1" applyAlignment="1">
      <alignment vertical="center"/>
    </xf>
    <xf numFmtId="0" fontId="117" fillId="0" borderId="3" xfId="0" applyFont="1" applyBorder="1" applyAlignment="1">
      <alignment vertical="center" wrapText="1"/>
    </xf>
    <xf numFmtId="164" fontId="118" fillId="0" borderId="3" xfId="0" applyNumberFormat="1" applyFont="1" applyBorder="1" applyAlignment="1">
      <alignment vertical="center"/>
    </xf>
    <xf numFmtId="164" fontId="117" fillId="0" borderId="3" xfId="1" applyFont="1" applyBorder="1" applyAlignment="1">
      <alignment vertical="center"/>
    </xf>
    <xf numFmtId="0" fontId="117" fillId="0" borderId="3" xfId="0" applyFont="1" applyBorder="1" applyAlignment="1">
      <alignment horizontal="center" vertical="center"/>
    </xf>
    <xf numFmtId="0" fontId="117" fillId="0" borderId="3" xfId="0" applyFont="1" applyBorder="1" applyAlignment="1">
      <alignment horizontal="center" vertical="center" wrapText="1"/>
    </xf>
    <xf numFmtId="0" fontId="119" fillId="0" borderId="3" xfId="0" applyFont="1" applyBorder="1" applyAlignment="1">
      <alignment horizontal="left" vertical="center" wrapText="1"/>
    </xf>
    <xf numFmtId="0" fontId="120" fillId="6" borderId="3" xfId="0" applyFont="1" applyFill="1" applyBorder="1" applyAlignment="1">
      <alignment horizontal="center" vertical="center" wrapText="1"/>
    </xf>
    <xf numFmtId="0" fontId="52" fillId="4" borderId="3" xfId="0" applyFont="1" applyFill="1" applyBorder="1" applyAlignment="1">
      <alignment horizontal="center" vertical="center"/>
    </xf>
    <xf numFmtId="0" fontId="52" fillId="4" borderId="1" xfId="0" applyFont="1" applyFill="1" applyBorder="1" applyAlignment="1">
      <alignment horizontal="center" vertical="center" wrapText="1"/>
    </xf>
    <xf numFmtId="0" fontId="59" fillId="0" borderId="0" xfId="0" applyFont="1" applyAlignment="1">
      <alignment wrapText="1"/>
    </xf>
    <xf numFmtId="164" fontId="52" fillId="4" borderId="3" xfId="0" applyNumberFormat="1" applyFont="1" applyFill="1" applyBorder="1" applyAlignment="1">
      <alignment horizontal="center" vertical="center"/>
    </xf>
    <xf numFmtId="164" fontId="40" fillId="4" borderId="3" xfId="0" applyNumberFormat="1" applyFont="1" applyFill="1" applyBorder="1" applyAlignment="1">
      <alignment horizontal="center" vertical="center" wrapText="1"/>
    </xf>
    <xf numFmtId="164" fontId="7" fillId="0" borderId="1" xfId="0" applyNumberFormat="1" applyFont="1" applyBorder="1" applyAlignment="1">
      <alignment vertical="center"/>
    </xf>
    <xf numFmtId="164" fontId="3" fillId="4" borderId="5" xfId="0" applyNumberFormat="1" applyFont="1" applyFill="1" applyBorder="1" applyAlignment="1">
      <alignment horizontal="center" vertical="center"/>
    </xf>
    <xf numFmtId="164" fontId="3" fillId="4" borderId="5" xfId="1" applyFont="1" applyFill="1" applyBorder="1" applyAlignment="1">
      <alignment vertical="center"/>
    </xf>
    <xf numFmtId="0" fontId="3" fillId="0" borderId="5" xfId="0" applyFont="1" applyBorder="1" applyAlignment="1">
      <alignment vertical="center"/>
    </xf>
    <xf numFmtId="0" fontId="14" fillId="29" borderId="7" xfId="0" applyFont="1" applyFill="1" applyBorder="1" applyAlignment="1">
      <alignment vertical="center"/>
    </xf>
    <xf numFmtId="164" fontId="14" fillId="29" borderId="7" xfId="1" applyFont="1" applyFill="1" applyBorder="1" applyAlignment="1">
      <alignment vertical="center"/>
    </xf>
    <xf numFmtId="0" fontId="7" fillId="4" borderId="5"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64" fontId="10" fillId="2" borderId="11" xfId="1" applyFont="1" applyFill="1" applyBorder="1" applyAlignment="1">
      <alignment horizontal="right" vertical="center" wrapText="1"/>
    </xf>
    <xf numFmtId="0" fontId="7" fillId="4"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10" xfId="0" applyFont="1" applyBorder="1" applyAlignment="1">
      <alignment horizontal="left" vertical="center" wrapText="1"/>
    </xf>
    <xf numFmtId="0" fontId="3" fillId="0" borderId="10" xfId="0" applyFont="1" applyBorder="1" applyAlignment="1">
      <alignment horizontal="left" vertical="center" wrapText="1"/>
    </xf>
    <xf numFmtId="0" fontId="0" fillId="0" borderId="3" xfId="0" applyBorder="1" applyAlignment="1">
      <alignment horizontal="center" vertical="center" wrapText="1"/>
    </xf>
    <xf numFmtId="164" fontId="10" fillId="2" borderId="3" xfId="1" applyFont="1" applyFill="1" applyBorder="1" applyAlignment="1">
      <alignment horizontal="right" vertical="center" wrapText="1"/>
    </xf>
    <xf numFmtId="0" fontId="39" fillId="2" borderId="3" xfId="0" applyFont="1" applyFill="1" applyBorder="1" applyAlignment="1">
      <alignment horizontal="left" vertical="center" indent="2"/>
    </xf>
    <xf numFmtId="0" fontId="0" fillId="13" borderId="3" xfId="0" applyFill="1" applyBorder="1" applyAlignment="1">
      <alignment horizontal="center" wrapText="1"/>
    </xf>
    <xf numFmtId="0" fontId="54" fillId="0" borderId="5"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3" xfId="0" applyFont="1" applyBorder="1" applyAlignment="1">
      <alignment horizontal="center" vertical="center" wrapText="1"/>
    </xf>
    <xf numFmtId="0" fontId="7" fillId="4" borderId="11" xfId="0" applyFont="1" applyFill="1" applyBorder="1" applyAlignment="1">
      <alignment horizontal="center" vertical="center"/>
    </xf>
    <xf numFmtId="0" fontId="10" fillId="3" borderId="1" xfId="0" applyFont="1" applyFill="1" applyBorder="1" applyAlignment="1">
      <alignment horizontal="center" vertical="center" wrapText="1"/>
    </xf>
    <xf numFmtId="164" fontId="33" fillId="2" borderId="3" xfId="1" applyFont="1" applyFill="1" applyBorder="1" applyAlignment="1">
      <alignment horizontal="right" vertical="center" wrapText="1"/>
    </xf>
    <xf numFmtId="0" fontId="33" fillId="4" borderId="3" xfId="0" applyFont="1" applyFill="1" applyBorder="1" applyAlignment="1">
      <alignment horizontal="center" vertical="center"/>
    </xf>
    <xf numFmtId="0" fontId="14" fillId="0" borderId="0" xfId="0" applyFont="1" applyAlignment="1">
      <alignment horizontal="center" vertical="center"/>
    </xf>
    <xf numFmtId="0" fontId="30" fillId="2" borderId="1"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10" xfId="0" applyFont="1" applyBorder="1" applyAlignment="1">
      <alignment horizontal="left" vertical="center" wrapText="1"/>
    </xf>
    <xf numFmtId="0" fontId="14" fillId="0" borderId="10" xfId="0" applyFont="1" applyBorder="1" applyAlignment="1">
      <alignment horizontal="left" vertical="center" wrapText="1"/>
    </xf>
    <xf numFmtId="0" fontId="33" fillId="2" borderId="3" xfId="0" applyFont="1" applyFill="1" applyBorder="1" applyAlignment="1">
      <alignment horizontal="center" vertical="center" wrapText="1"/>
    </xf>
    <xf numFmtId="0" fontId="33" fillId="3" borderId="3" xfId="0" applyFont="1" applyFill="1" applyBorder="1" applyAlignment="1">
      <alignment horizontal="center" vertical="center" wrapText="1"/>
    </xf>
    <xf numFmtId="164" fontId="10" fillId="2" borderId="15" xfId="1" applyFont="1" applyFill="1" applyBorder="1" applyAlignment="1">
      <alignment horizontal="right" vertical="center" wrapText="1"/>
    </xf>
    <xf numFmtId="164" fontId="10" fillId="2" borderId="14" xfId="1" applyFont="1" applyFill="1" applyBorder="1" applyAlignment="1">
      <alignment horizontal="right" vertical="center" wrapText="1"/>
    </xf>
    <xf numFmtId="164" fontId="10" fillId="2" borderId="13" xfId="1" applyFont="1" applyFill="1" applyBorder="1" applyAlignment="1">
      <alignment horizontal="right" vertical="center" wrapText="1"/>
    </xf>
    <xf numFmtId="42" fontId="83" fillId="22" borderId="35" xfId="19" applyNumberFormat="1" applyFont="1" applyFill="1" applyBorder="1" applyAlignment="1">
      <alignment horizontal="center"/>
    </xf>
    <xf numFmtId="42" fontId="83" fillId="22" borderId="34" xfId="19" applyNumberFormat="1" applyFont="1" applyFill="1" applyBorder="1" applyAlignment="1">
      <alignment horizontal="center"/>
    </xf>
    <xf numFmtId="42" fontId="83" fillId="22" borderId="20" xfId="19" applyNumberFormat="1" applyFont="1" applyFill="1" applyBorder="1" applyAlignment="1">
      <alignment horizontal="center"/>
    </xf>
    <xf numFmtId="42" fontId="83" fillId="22" borderId="38" xfId="19" applyNumberFormat="1" applyFont="1" applyFill="1" applyBorder="1" applyAlignment="1">
      <alignment horizontal="center"/>
    </xf>
    <xf numFmtId="42" fontId="83" fillId="22" borderId="39" xfId="19" applyNumberFormat="1" applyFont="1" applyFill="1" applyBorder="1" applyAlignment="1">
      <alignment horizontal="center"/>
    </xf>
    <xf numFmtId="42" fontId="83" fillId="25" borderId="35" xfId="19" applyNumberFormat="1" applyFont="1" applyFill="1" applyBorder="1" applyAlignment="1">
      <alignment horizontal="center"/>
    </xf>
    <xf numFmtId="42" fontId="83" fillId="25" borderId="20" xfId="19" applyNumberFormat="1" applyFont="1" applyFill="1" applyBorder="1" applyAlignment="1">
      <alignment horizontal="center"/>
    </xf>
    <xf numFmtId="42" fontId="83" fillId="26" borderId="41" xfId="19" applyNumberFormat="1" applyFont="1" applyFill="1" applyBorder="1" applyAlignment="1">
      <alignment horizontal="center"/>
    </xf>
    <xf numFmtId="42" fontId="83" fillId="26" borderId="16" xfId="19" applyNumberFormat="1" applyFont="1" applyFill="1" applyBorder="1" applyAlignment="1">
      <alignment horizontal="center"/>
    </xf>
    <xf numFmtId="42" fontId="23" fillId="0" borderId="38" xfId="19" applyNumberFormat="1" applyBorder="1" applyAlignment="1">
      <alignment horizontal="center"/>
    </xf>
    <xf numFmtId="42" fontId="23" fillId="0" borderId="44" xfId="19" applyNumberFormat="1" applyBorder="1" applyAlignment="1">
      <alignment horizontal="center"/>
    </xf>
    <xf numFmtId="42" fontId="83" fillId="26" borderId="35" xfId="19" applyNumberFormat="1" applyFont="1" applyFill="1" applyBorder="1" applyAlignment="1">
      <alignment horizontal="center"/>
    </xf>
    <xf numFmtId="42" fontId="83" fillId="26" borderId="34" xfId="19" applyNumberFormat="1" applyFont="1" applyFill="1" applyBorder="1" applyAlignment="1">
      <alignment horizontal="center"/>
    </xf>
    <xf numFmtId="42" fontId="83" fillId="22" borderId="44" xfId="19" applyNumberFormat="1" applyFont="1" applyFill="1" applyBorder="1" applyAlignment="1">
      <alignment horizontal="center"/>
    </xf>
    <xf numFmtId="42" fontId="83" fillId="25" borderId="34" xfId="19" applyNumberFormat="1" applyFont="1" applyFill="1" applyBorder="1" applyAlignment="1">
      <alignment horizontal="center"/>
    </xf>
    <xf numFmtId="42" fontId="83" fillId="25" borderId="15" xfId="19" applyNumberFormat="1" applyFont="1" applyFill="1" applyBorder="1" applyAlignment="1">
      <alignment horizontal="center"/>
    </xf>
    <xf numFmtId="42" fontId="83" fillId="25" borderId="13" xfId="19" applyNumberFormat="1" applyFont="1" applyFill="1" applyBorder="1" applyAlignment="1">
      <alignment horizontal="center"/>
    </xf>
  </cellXfs>
  <cellStyles count="23">
    <cellStyle name="Comma 2" xfId="4" xr:uid="{00000000-0005-0000-0000-000000000000}"/>
    <cellStyle name="Comma 3" xfId="5" xr:uid="{00000000-0005-0000-0000-000001000000}"/>
    <cellStyle name="Currency" xfId="1" builtinId="4"/>
    <cellStyle name="Currency 2" xfId="6" xr:uid="{00000000-0005-0000-0000-000003000000}"/>
    <cellStyle name="Currency 2 2" xfId="7" xr:uid="{00000000-0005-0000-0000-000004000000}"/>
    <cellStyle name="Currency 2 3" xfId="8" xr:uid="{00000000-0005-0000-0000-000005000000}"/>
    <cellStyle name="Currency 3" xfId="9" xr:uid="{00000000-0005-0000-0000-000006000000}"/>
    <cellStyle name="Currency 3 2" xfId="10" xr:uid="{00000000-0005-0000-0000-000007000000}"/>
    <cellStyle name="Currency 4" xfId="11" xr:uid="{00000000-0005-0000-0000-000008000000}"/>
    <cellStyle name="Currency 5" xfId="3" xr:uid="{00000000-0005-0000-0000-000009000000}"/>
    <cellStyle name="Currency 6" xfId="12" xr:uid="{00000000-0005-0000-0000-00000A000000}"/>
    <cellStyle name="Normal" xfId="0" builtinId="0"/>
    <cellStyle name="Normal 2" xfId="13" xr:uid="{00000000-0005-0000-0000-00000C000000}"/>
    <cellStyle name="Normal 2 2" xfId="14" xr:uid="{00000000-0005-0000-0000-00000D000000}"/>
    <cellStyle name="Normal 2 3" xfId="15" xr:uid="{00000000-0005-0000-0000-00000E000000}"/>
    <cellStyle name="Normal 2 4" xfId="16" xr:uid="{00000000-0005-0000-0000-00000F000000}"/>
    <cellStyle name="Normal 3" xfId="17" xr:uid="{00000000-0005-0000-0000-000010000000}"/>
    <cellStyle name="Normal 4" xfId="18" xr:uid="{00000000-0005-0000-0000-000011000000}"/>
    <cellStyle name="Normal 4 2" xfId="19" xr:uid="{00000000-0005-0000-0000-000012000000}"/>
    <cellStyle name="Normal 5" xfId="20" xr:uid="{00000000-0005-0000-0000-000013000000}"/>
    <cellStyle name="Normal 6" xfId="2" xr:uid="{00000000-0005-0000-0000-000014000000}"/>
    <cellStyle name="Normal 7" xfId="21" xr:uid="{00000000-0005-0000-0000-000015000000}"/>
    <cellStyle name="Normal 8" xfId="22" xr:uid="{00000000-0005-0000-0000-000016000000}"/>
  </cellStyles>
  <dxfs count="2">
    <dxf>
      <font>
        <condense val="0"/>
        <extend val="0"/>
        <color indexed="17"/>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0A9A-0B14-6245-A312-02DE975B782F}">
  <sheetPr>
    <pageSetUpPr fitToPage="1"/>
  </sheetPr>
  <dimension ref="A1:G43"/>
  <sheetViews>
    <sheetView zoomScale="115" zoomScaleNormal="115" workbookViewId="0">
      <selection activeCell="I33" sqref="I33"/>
    </sheetView>
  </sheetViews>
  <sheetFormatPr defaultColWidth="8.875" defaultRowHeight="15"/>
  <cols>
    <col min="1" max="1" width="3" style="417" customWidth="1"/>
    <col min="2" max="2" width="19.625" style="417" bestFit="1" customWidth="1"/>
    <col min="3" max="3" width="12.875" style="417" customWidth="1"/>
    <col min="4" max="4" width="18.5" style="417" customWidth="1"/>
    <col min="5" max="5" width="17.875" style="417" customWidth="1"/>
    <col min="6" max="6" width="18.875" style="417" customWidth="1"/>
    <col min="7" max="8" width="2.5" style="417" customWidth="1"/>
    <col min="9" max="16384" width="8.875" style="417"/>
  </cols>
  <sheetData>
    <row r="1" spans="1:7" ht="23.1" customHeight="1">
      <c r="A1" s="457"/>
      <c r="B1" s="457"/>
      <c r="C1" s="458" t="s">
        <v>0</v>
      </c>
      <c r="D1" s="457"/>
      <c r="E1" s="457"/>
      <c r="F1" s="458" t="s">
        <v>1</v>
      </c>
      <c r="G1" s="457"/>
    </row>
    <row r="2" spans="1:7">
      <c r="A2" s="457"/>
      <c r="B2" s="461" t="s">
        <v>2</v>
      </c>
      <c r="C2" s="461" t="s">
        <v>3</v>
      </c>
      <c r="D2" s="461" t="s">
        <v>4</v>
      </c>
      <c r="E2" s="461" t="s">
        <v>5</v>
      </c>
      <c r="F2" s="462" t="s">
        <v>6</v>
      </c>
      <c r="G2" s="457"/>
    </row>
    <row r="3" spans="1:7">
      <c r="A3" s="457"/>
      <c r="B3" s="463" t="s">
        <v>7</v>
      </c>
      <c r="C3" s="463">
        <v>237094</v>
      </c>
      <c r="D3" s="651">
        <f>'SWP 6 Balance'!H3</f>
        <v>-2946.2</v>
      </c>
      <c r="E3" s="466">
        <f>'SWP 7 Local Budget'!H15</f>
        <v>14681.68</v>
      </c>
      <c r="F3" s="657">
        <f>D3+E3</f>
        <v>11735.48</v>
      </c>
      <c r="G3" s="457"/>
    </row>
    <row r="4" spans="1:7">
      <c r="A4" s="457"/>
      <c r="B4" s="463" t="s">
        <v>8</v>
      </c>
      <c r="C4" s="463">
        <v>237050</v>
      </c>
      <c r="D4" s="651">
        <f>'SWP 6 Balance'!H4</f>
        <v>43086.87</v>
      </c>
      <c r="E4" s="466">
        <f>'SWP 7 Local Budget'!I15</f>
        <v>63768.12</v>
      </c>
      <c r="F4" s="657">
        <f t="shared" ref="F4:F21" si="0">D4+E4</f>
        <v>106854.99</v>
      </c>
      <c r="G4" s="457"/>
    </row>
    <row r="5" spans="1:7">
      <c r="A5" s="457"/>
      <c r="B5" s="463" t="s">
        <v>9</v>
      </c>
      <c r="C5" s="463">
        <v>237051</v>
      </c>
      <c r="D5" s="651">
        <f>'SWP 6 Balance'!H5</f>
        <v>60153.91</v>
      </c>
      <c r="E5" s="466">
        <f>'SWP 7 Local Budget'!K15</f>
        <v>59839</v>
      </c>
      <c r="F5" s="657">
        <f t="shared" si="0"/>
        <v>119992.91</v>
      </c>
      <c r="G5" s="457"/>
    </row>
    <row r="6" spans="1:7">
      <c r="A6" s="457"/>
      <c r="B6" s="463" t="s">
        <v>10</v>
      </c>
      <c r="C6" s="463">
        <v>237071</v>
      </c>
      <c r="D6" s="651">
        <f>'SWP 6 Balance'!H6</f>
        <v>60216</v>
      </c>
      <c r="E6" s="466">
        <f>'SWP 7 Local Budget'!J15</f>
        <v>59839</v>
      </c>
      <c r="F6" s="657">
        <f t="shared" si="0"/>
        <v>120055</v>
      </c>
      <c r="G6" s="457"/>
    </row>
    <row r="7" spans="1:7">
      <c r="A7" s="457"/>
      <c r="B7" s="463" t="s">
        <v>11</v>
      </c>
      <c r="C7" s="463">
        <v>233002</v>
      </c>
      <c r="D7" s="651">
        <f>'SWP 6 Balance'!H7</f>
        <v>10140</v>
      </c>
      <c r="E7" s="466">
        <f>'SWP 7 Local Budget'!F32</f>
        <v>10140</v>
      </c>
      <c r="F7" s="657">
        <f t="shared" si="0"/>
        <v>20280</v>
      </c>
      <c r="G7" s="457"/>
    </row>
    <row r="8" spans="1:7">
      <c r="A8" s="457"/>
      <c r="B8" s="463" t="s">
        <v>12</v>
      </c>
      <c r="C8" s="463">
        <v>233009</v>
      </c>
      <c r="D8" s="651">
        <f>'SWP 6 Balance'!H8</f>
        <v>-3198.3899999999994</v>
      </c>
      <c r="E8" s="466">
        <f>'SWP 7 Local Budget'!G32</f>
        <v>11648</v>
      </c>
      <c r="F8" s="657">
        <f t="shared" si="0"/>
        <v>8449.61</v>
      </c>
      <c r="G8" s="457"/>
    </row>
    <row r="9" spans="1:7">
      <c r="A9" s="457"/>
      <c r="B9" s="463" t="s">
        <v>13</v>
      </c>
      <c r="C9" s="463">
        <v>237059</v>
      </c>
      <c r="D9" s="651">
        <f>'SWP 6 Balance'!H9</f>
        <v>7153.9699999999993</v>
      </c>
      <c r="E9" s="466">
        <f>'SWP 7 Local Budget'!H32</f>
        <v>21580</v>
      </c>
      <c r="F9" s="657">
        <f t="shared" si="0"/>
        <v>28733.97</v>
      </c>
      <c r="G9" s="457"/>
    </row>
    <row r="10" spans="1:7">
      <c r="A10" s="457"/>
      <c r="B10" s="463" t="s">
        <v>14</v>
      </c>
      <c r="C10" s="463">
        <v>237060</v>
      </c>
      <c r="D10" s="651">
        <f>'SWP 6 Balance'!H10</f>
        <v>14878.5</v>
      </c>
      <c r="E10" s="466">
        <f>'SWP 7 Local Budget'!I32</f>
        <v>21430</v>
      </c>
      <c r="F10" s="657">
        <f t="shared" si="0"/>
        <v>36308.5</v>
      </c>
      <c r="G10" s="457"/>
    </row>
    <row r="11" spans="1:7">
      <c r="A11" s="457"/>
      <c r="B11" s="463" t="s">
        <v>15</v>
      </c>
      <c r="C11" s="463">
        <v>237054</v>
      </c>
      <c r="D11" s="651">
        <f>'SWP 6 Balance'!H11</f>
        <v>32524.369999999995</v>
      </c>
      <c r="E11" s="466">
        <f>'SWP 7 Local Budget'!N15</f>
        <v>41860</v>
      </c>
      <c r="F11" s="657">
        <f t="shared" si="0"/>
        <v>74384.37</v>
      </c>
      <c r="G11" s="457"/>
    </row>
    <row r="12" spans="1:7">
      <c r="A12" s="457"/>
      <c r="B12" s="463" t="s">
        <v>16</v>
      </c>
      <c r="C12" s="463">
        <v>237055</v>
      </c>
      <c r="D12" s="651">
        <f>'SWP 6 Balance'!H12</f>
        <v>20923.57</v>
      </c>
      <c r="E12" s="466">
        <f>'SWP 7 Local Budget'!D32</f>
        <v>33852</v>
      </c>
      <c r="F12" s="657">
        <f t="shared" si="0"/>
        <v>54775.57</v>
      </c>
      <c r="G12" s="457"/>
    </row>
    <row r="13" spans="1:7">
      <c r="A13" s="457"/>
      <c r="B13" s="463" t="s">
        <v>17</v>
      </c>
      <c r="C13" s="463">
        <v>237056</v>
      </c>
      <c r="D13" s="651">
        <f>'SWP 6 Balance'!H13</f>
        <v>258332</v>
      </c>
      <c r="E13" s="466">
        <f>'SWP 7 Local Budget'!E32</f>
        <v>567190</v>
      </c>
      <c r="F13" s="657">
        <f t="shared" si="0"/>
        <v>825522</v>
      </c>
      <c r="G13" s="457"/>
    </row>
    <row r="14" spans="1:7">
      <c r="A14" s="457"/>
      <c r="B14" s="463" t="s">
        <v>18</v>
      </c>
      <c r="C14" s="463">
        <v>237044</v>
      </c>
      <c r="D14" s="651">
        <f>'SWP 6 Balance'!H14</f>
        <v>20800</v>
      </c>
      <c r="E14" s="466">
        <f>'SWP 7 Local Budget'!E15</f>
        <v>18720</v>
      </c>
      <c r="F14" s="657">
        <f t="shared" si="0"/>
        <v>39520</v>
      </c>
      <c r="G14" s="457"/>
    </row>
    <row r="15" spans="1:7">
      <c r="A15" s="457"/>
      <c r="B15" s="463" t="s">
        <v>19</v>
      </c>
      <c r="C15" s="463">
        <v>237095</v>
      </c>
      <c r="D15" s="651">
        <f>'SWP 6 Balance'!H15</f>
        <v>20697.86</v>
      </c>
      <c r="E15" s="466">
        <f>'SWP 7 Local Budget'!D15</f>
        <v>18720</v>
      </c>
      <c r="F15" s="657">
        <f t="shared" si="0"/>
        <v>39417.86</v>
      </c>
      <c r="G15" s="457"/>
    </row>
    <row r="16" spans="1:7">
      <c r="A16" s="457"/>
      <c r="B16" s="463" t="s">
        <v>20</v>
      </c>
      <c r="C16" s="463">
        <v>237046</v>
      </c>
      <c r="D16" s="651">
        <f>'SWP 6 Balance'!H16</f>
        <v>28279.599999999999</v>
      </c>
      <c r="E16" s="466">
        <f>'SWP 7 Local Budget'!F15</f>
        <v>27742</v>
      </c>
      <c r="F16" s="657">
        <f t="shared" si="0"/>
        <v>56021.599999999999</v>
      </c>
      <c r="G16" s="457"/>
    </row>
    <row r="17" spans="1:7">
      <c r="A17" s="457"/>
      <c r="B17" s="463" t="s">
        <v>21</v>
      </c>
      <c r="C17" s="463">
        <v>237052</v>
      </c>
      <c r="D17" s="651">
        <f>'SWP 6 Balance'!H17</f>
        <v>26000</v>
      </c>
      <c r="E17" s="466">
        <f>'SWP 7 Local Budget'!L15</f>
        <v>23920</v>
      </c>
      <c r="F17" s="657">
        <f t="shared" si="0"/>
        <v>49920</v>
      </c>
      <c r="G17" s="457"/>
    </row>
    <row r="18" spans="1:7">
      <c r="A18" s="457"/>
      <c r="B18" s="463" t="s">
        <v>22</v>
      </c>
      <c r="C18" s="463">
        <v>237053</v>
      </c>
      <c r="D18" s="651">
        <f>'SWP 6 Balance'!H18</f>
        <v>18190</v>
      </c>
      <c r="E18" s="466">
        <f>'SWP 7 Local Budget'!M15</f>
        <v>18720</v>
      </c>
      <c r="F18" s="657">
        <f t="shared" si="0"/>
        <v>36910</v>
      </c>
      <c r="G18" s="457"/>
    </row>
    <row r="19" spans="1:7">
      <c r="A19" s="457"/>
      <c r="B19" s="463" t="s">
        <v>23</v>
      </c>
      <c r="C19" s="463">
        <v>237078</v>
      </c>
      <c r="D19" s="651">
        <f>'SWP 6 Balance'!H19</f>
        <v>23530</v>
      </c>
      <c r="E19" s="466">
        <f>'SWP 7 Local Budget'!G15</f>
        <v>21450</v>
      </c>
      <c r="F19" s="657">
        <f>D19+E19</f>
        <v>44980</v>
      </c>
      <c r="G19" s="457"/>
    </row>
    <row r="20" spans="1:7">
      <c r="A20" s="457"/>
      <c r="B20" s="463" t="s">
        <v>24</v>
      </c>
      <c r="C20" s="463"/>
      <c r="D20" s="651"/>
      <c r="E20" s="466">
        <f>'SWP 7 Local Budget'!J32</f>
        <v>11880</v>
      </c>
      <c r="F20" s="657">
        <f t="shared" si="0"/>
        <v>11880</v>
      </c>
      <c r="G20" s="457"/>
    </row>
    <row r="21" spans="1:7">
      <c r="A21" s="457"/>
      <c r="B21" s="463" t="s">
        <v>25</v>
      </c>
      <c r="C21" s="463">
        <v>237096</v>
      </c>
      <c r="D21" s="651">
        <f>'SWP 6 Balance'!H20</f>
        <v>213743.06</v>
      </c>
      <c r="E21" s="653">
        <f>'SWP 7 Local Budget'!K32</f>
        <v>485292.80800000002</v>
      </c>
      <c r="F21" s="657">
        <f t="shared" si="0"/>
        <v>699035.86800000002</v>
      </c>
      <c r="G21" s="457"/>
    </row>
    <row r="22" spans="1:7" ht="15.95" thickBot="1">
      <c r="A22" s="457"/>
      <c r="B22" s="479" t="s">
        <v>26</v>
      </c>
      <c r="C22" s="480"/>
      <c r="D22" s="481">
        <f>SUM(D3:D21)</f>
        <v>852505.11999999988</v>
      </c>
      <c r="E22" s="654">
        <f>SUM(E3:E21)</f>
        <v>1532272.608</v>
      </c>
      <c r="F22" s="481">
        <f>SUM(F3:F21)</f>
        <v>2384777.7280000001</v>
      </c>
      <c r="G22" s="457"/>
    </row>
    <row r="23" spans="1:7" ht="15.95" thickTop="1">
      <c r="A23" s="457"/>
      <c r="B23" s="457"/>
      <c r="C23" s="458" t="s">
        <v>27</v>
      </c>
      <c r="D23" s="457"/>
      <c r="E23" s="457"/>
      <c r="F23" s="457"/>
      <c r="G23" s="457"/>
    </row>
    <row r="24" spans="1:7">
      <c r="A24" s="457"/>
      <c r="B24" s="461" t="s">
        <v>2</v>
      </c>
      <c r="C24" s="461" t="s">
        <v>3</v>
      </c>
      <c r="D24" s="461" t="s">
        <v>4</v>
      </c>
      <c r="E24" s="461" t="s">
        <v>5</v>
      </c>
      <c r="F24" s="462" t="s">
        <v>6</v>
      </c>
      <c r="G24" s="457"/>
    </row>
    <row r="25" spans="1:7">
      <c r="A25" s="457"/>
      <c r="B25" s="490" t="s">
        <v>8</v>
      </c>
      <c r="C25" s="490">
        <v>237050</v>
      </c>
      <c r="D25" s="652">
        <f>'SWP 6 Balance'!H30</f>
        <v>20093</v>
      </c>
      <c r="E25" s="493"/>
      <c r="F25" s="658">
        <f>D25+E25</f>
        <v>20093</v>
      </c>
      <c r="G25" s="457"/>
    </row>
    <row r="26" spans="1:7">
      <c r="A26" s="457"/>
      <c r="B26" s="463" t="s">
        <v>9</v>
      </c>
      <c r="C26" s="463">
        <v>237051</v>
      </c>
      <c r="D26" s="652">
        <f>'SWP 6 Balance'!H31</f>
        <v>20092</v>
      </c>
      <c r="E26" s="467"/>
      <c r="F26" s="658">
        <f t="shared" ref="F26:F28" si="1">D26+E26</f>
        <v>20092</v>
      </c>
      <c r="G26" s="457"/>
    </row>
    <row r="27" spans="1:7">
      <c r="A27" s="457"/>
      <c r="B27" s="463" t="s">
        <v>28</v>
      </c>
      <c r="C27" s="463">
        <v>237097</v>
      </c>
      <c r="D27" s="652">
        <f>'SWP 6 Balance'!H32</f>
        <v>281520</v>
      </c>
      <c r="E27" s="467">
        <f>'SWP 7 Regional Budget'!H15</f>
        <v>384398</v>
      </c>
      <c r="F27" s="658">
        <f t="shared" si="1"/>
        <v>665918</v>
      </c>
      <c r="G27" s="457"/>
    </row>
    <row r="28" spans="1:7">
      <c r="A28" s="457"/>
      <c r="B28" s="463" t="s">
        <v>29</v>
      </c>
      <c r="C28" s="463">
        <v>237098</v>
      </c>
      <c r="D28" s="652">
        <f>'SWP 6 Balance'!H33</f>
        <v>448720</v>
      </c>
      <c r="E28" s="467">
        <f>'SWP 7 Regional Budget'!I15</f>
        <v>428352</v>
      </c>
      <c r="F28" s="658">
        <f t="shared" si="1"/>
        <v>877072</v>
      </c>
      <c r="G28" s="457"/>
    </row>
    <row r="29" spans="1:7" ht="15.95" thickBot="1">
      <c r="A29" s="457"/>
      <c r="B29" s="479" t="s">
        <v>26</v>
      </c>
      <c r="C29" s="480"/>
      <c r="D29" s="481">
        <f>SUM(D26:D28)</f>
        <v>750332</v>
      </c>
      <c r="E29" s="481">
        <f>SUM(E26:E28)</f>
        <v>812750</v>
      </c>
      <c r="F29" s="481">
        <f>SUM(F26:F28)</f>
        <v>1563082</v>
      </c>
      <c r="G29" s="457"/>
    </row>
    <row r="30" spans="1:7" ht="15.95" thickTop="1">
      <c r="A30" s="457"/>
      <c r="B30" s="457"/>
      <c r="C30" s="457"/>
      <c r="D30" s="457"/>
      <c r="E30" s="457"/>
      <c r="F30" s="457"/>
      <c r="G30" s="457"/>
    </row>
    <row r="31" spans="1:7">
      <c r="A31" s="457"/>
      <c r="B31" s="502"/>
      <c r="C31" s="502" t="s">
        <v>30</v>
      </c>
      <c r="D31" s="655"/>
      <c r="E31" s="656"/>
      <c r="F31" s="655"/>
      <c r="G31" s="457"/>
    </row>
    <row r="32" spans="1:7">
      <c r="A32" s="457"/>
      <c r="B32" s="502"/>
      <c r="C32" s="499"/>
      <c r="D32" s="655" t="s">
        <v>31</v>
      </c>
      <c r="E32" s="656" t="s">
        <v>32</v>
      </c>
      <c r="F32" s="655"/>
      <c r="G32" s="457"/>
    </row>
    <row r="33" spans="1:7">
      <c r="A33" s="457"/>
      <c r="B33" s="502"/>
      <c r="C33" s="499" t="s">
        <v>33</v>
      </c>
      <c r="D33" s="655">
        <f>F3+F4+F5+F6+F7+F8+F25+F26</f>
        <v>427552.99</v>
      </c>
      <c r="E33" s="656">
        <f>'Perkins 22_23 Balane'!G3+'Perkins 22_23 Balane'!G4+'Perkins 22_23 Balane'!G5+'Perkins 22_23 Balane'!G6+'Perkins 22_23 Balane'!G7</f>
        <v>175571</v>
      </c>
      <c r="F33" s="655"/>
      <c r="G33" s="457"/>
    </row>
    <row r="34" spans="1:7">
      <c r="A34" s="457"/>
      <c r="B34" s="502"/>
      <c r="C34" s="499" t="s">
        <v>34</v>
      </c>
      <c r="D34" s="655">
        <f>F11+F12+F13+F14+F15</f>
        <v>1033619.7999999999</v>
      </c>
      <c r="E34" s="655">
        <f>'Perkins 22_23 Balane'!G8+'Perkins 22_23 Balane'!G9+'Perkins 22_23 Balane'!G10+'Perkins 22_23 Balane'!G11</f>
        <v>60205</v>
      </c>
      <c r="F34" s="655"/>
      <c r="G34" s="457"/>
    </row>
    <row r="35" spans="1:7">
      <c r="A35" s="457"/>
      <c r="B35" s="499"/>
      <c r="C35" s="499" t="s">
        <v>35</v>
      </c>
      <c r="D35" s="498">
        <f>F16+F17+F18+F19</f>
        <v>187831.6</v>
      </c>
      <c r="E35" s="498">
        <f>'Perkins 22_23 Balane'!G12+'Perkins 22_23 Balane'!G13+'Perkins 22_23 Balane'!G14+'Perkins 22_23 Balane'!G15</f>
        <v>56007.59</v>
      </c>
      <c r="F35" s="498"/>
      <c r="G35" s="457"/>
    </row>
    <row r="36" spans="1:7">
      <c r="A36" s="457"/>
      <c r="B36" s="499"/>
      <c r="C36" s="499" t="s">
        <v>25</v>
      </c>
      <c r="D36" s="498">
        <f>F21+F27+F28</f>
        <v>2242025.8679999998</v>
      </c>
      <c r="E36" s="498">
        <f>'Perkins 22_23 Balane'!G20+'Perkins 22_23 Balane'!G21</f>
        <v>146626</v>
      </c>
      <c r="F36" s="499"/>
      <c r="G36" s="457"/>
    </row>
    <row r="37" spans="1:7">
      <c r="A37" s="457"/>
      <c r="B37" s="499"/>
      <c r="C37" s="499" t="s">
        <v>36</v>
      </c>
      <c r="D37" s="697"/>
      <c r="E37" s="498">
        <f>'Perkins 22_23 Balane'!G19</f>
        <v>16627</v>
      </c>
      <c r="F37" s="499"/>
      <c r="G37" s="457"/>
    </row>
    <row r="38" spans="1:7">
      <c r="A38" s="457"/>
      <c r="B38" s="499"/>
      <c r="C38" s="499" t="s">
        <v>37</v>
      </c>
      <c r="D38" s="498">
        <f>F20</f>
        <v>11880</v>
      </c>
      <c r="E38" s="697"/>
      <c r="F38" s="499"/>
      <c r="G38" s="457"/>
    </row>
    <row r="39" spans="1:7">
      <c r="A39" s="457"/>
      <c r="B39" s="499"/>
      <c r="C39" s="499" t="s">
        <v>38</v>
      </c>
      <c r="D39" s="498">
        <f>F9+F10</f>
        <v>65042.47</v>
      </c>
      <c r="E39" s="498">
        <f>'Perkins 22_23 Balane'!G16+'Perkins 22_23 Balane'!G17+'Perkins 22_23 Balane'!G18</f>
        <v>50229.34</v>
      </c>
      <c r="F39" s="499"/>
      <c r="G39" s="457"/>
    </row>
    <row r="40" spans="1:7">
      <c r="A40" s="457"/>
      <c r="B40" s="484"/>
      <c r="C40" s="484"/>
      <c r="D40" s="486"/>
      <c r="E40" s="486"/>
      <c r="F40" s="484"/>
      <c r="G40" s="457"/>
    </row>
    <row r="41" spans="1:7">
      <c r="A41" s="457"/>
      <c r="B41" s="457"/>
      <c r="C41" s="457"/>
      <c r="D41" s="457"/>
      <c r="E41" s="457"/>
      <c r="F41" s="457"/>
      <c r="G41" s="457"/>
    </row>
    <row r="43" spans="1:7">
      <c r="F43" s="417" t="s">
        <v>39</v>
      </c>
    </row>
  </sheetData>
  <pageMargins left="0.7" right="0.7" top="0.75" bottom="0.75" header="0.3" footer="0.3"/>
  <pageSetup scale="48"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zoomScale="120" zoomScaleNormal="120" workbookViewId="0">
      <pane ySplit="5" topLeftCell="A90" activePane="bottomLeft" state="frozen"/>
      <selection pane="bottomLeft" activeCell="H94" sqref="H94"/>
    </sheetView>
  </sheetViews>
  <sheetFormatPr defaultColWidth="11.125" defaultRowHeight="14.1"/>
  <cols>
    <col min="1" max="1" width="11.125" style="14" customWidth="1"/>
    <col min="2" max="2" width="15.875" style="14" customWidth="1"/>
    <col min="3" max="3" width="14.875" style="53" customWidth="1"/>
    <col min="4" max="4" width="36.125" style="14" customWidth="1"/>
    <col min="5" max="5" width="25.375" style="14" customWidth="1"/>
    <col min="6" max="6" width="6" style="54" customWidth="1"/>
    <col min="7" max="8" width="9.125" style="54" customWidth="1"/>
    <col min="9" max="9" width="13.125" style="14" customWidth="1"/>
    <col min="10" max="10" width="11.125" style="14" customWidth="1"/>
    <col min="11" max="11" width="13.875" style="14" customWidth="1"/>
    <col min="12" max="12" width="9.5" style="14" customWidth="1"/>
    <col min="13" max="13" width="8.625" style="14" customWidth="1"/>
    <col min="14" max="14" width="19.875" style="14" customWidth="1"/>
    <col min="15" max="15" width="14.5" style="14" customWidth="1"/>
    <col min="16" max="16" width="13.625" style="14" customWidth="1"/>
    <col min="17" max="17" width="15" style="14" customWidth="1"/>
    <col min="18" max="18" width="17.625" style="14" customWidth="1"/>
    <col min="19" max="19" width="11.125" style="55" customWidth="1"/>
    <col min="20" max="20" width="47.875" style="56" customWidth="1"/>
    <col min="21" max="16384" width="11.125" style="14"/>
  </cols>
  <sheetData>
    <row r="1" spans="1:20" s="5" customFormat="1" ht="15.95">
      <c r="A1" s="1"/>
      <c r="B1" s="725" t="s">
        <v>40</v>
      </c>
      <c r="C1" s="725"/>
      <c r="D1" s="725"/>
      <c r="E1" s="725"/>
      <c r="F1" s="725"/>
      <c r="G1" s="725"/>
      <c r="H1" s="725"/>
      <c r="I1" s="725"/>
      <c r="J1" s="725"/>
      <c r="K1" s="725"/>
      <c r="L1" s="725"/>
      <c r="M1" s="725"/>
      <c r="N1" s="725"/>
      <c r="O1" s="2"/>
      <c r="P1" s="2"/>
      <c r="Q1" s="2"/>
      <c r="R1" s="2"/>
      <c r="S1" s="3"/>
      <c r="T1" s="4"/>
    </row>
    <row r="2" spans="1:20" s="5" customFormat="1" ht="15.95">
      <c r="A2" s="1"/>
      <c r="B2" s="726" t="s">
        <v>41</v>
      </c>
      <c r="C2" s="726"/>
      <c r="D2" s="726"/>
      <c r="E2" s="726"/>
      <c r="F2" s="726"/>
      <c r="G2" s="726"/>
      <c r="H2" s="726"/>
      <c r="I2" s="726"/>
      <c r="J2" s="726"/>
      <c r="K2" s="726"/>
      <c r="L2" s="726"/>
      <c r="M2" s="726"/>
      <c r="N2" s="726"/>
      <c r="O2" s="726"/>
      <c r="P2" s="726"/>
      <c r="Q2" s="726"/>
      <c r="R2" s="726"/>
      <c r="S2" s="3"/>
      <c r="T2" s="4"/>
    </row>
    <row r="3" spans="1:20" s="5" customFormat="1" ht="24.95" customHeight="1">
      <c r="A3" s="1"/>
      <c r="B3" s="727" t="s">
        <v>42</v>
      </c>
      <c r="C3" s="727"/>
      <c r="D3" s="727"/>
      <c r="E3" s="727"/>
      <c r="F3" s="727"/>
      <c r="G3" s="727"/>
      <c r="H3" s="727"/>
      <c r="I3" s="727"/>
      <c r="J3" s="727"/>
      <c r="K3" s="727"/>
      <c r="L3" s="727"/>
      <c r="M3" s="727"/>
      <c r="N3" s="727"/>
      <c r="O3" s="727"/>
      <c r="P3" s="727"/>
      <c r="Q3" s="727"/>
      <c r="R3" s="727"/>
      <c r="S3" s="3"/>
      <c r="T3" s="4"/>
    </row>
    <row r="4" spans="1:20" s="5" customFormat="1" ht="23.1">
      <c r="A4" s="728"/>
      <c r="B4" s="728"/>
      <c r="C4" s="728"/>
      <c r="D4" s="728"/>
      <c r="E4" s="728"/>
      <c r="F4" s="728"/>
      <c r="G4" s="728"/>
      <c r="H4" s="728"/>
      <c r="I4" s="728"/>
      <c r="J4" s="728"/>
      <c r="K4" s="728"/>
      <c r="L4" s="728"/>
      <c r="M4" s="728"/>
      <c r="N4" s="728"/>
      <c r="O4" s="729" t="s">
        <v>43</v>
      </c>
      <c r="P4" s="729"/>
      <c r="Q4" s="729"/>
      <c r="R4" s="729"/>
      <c r="S4" s="6"/>
      <c r="T4" s="724" t="s">
        <v>44</v>
      </c>
    </row>
    <row r="5" spans="1:20" s="5" customFormat="1" ht="50.1" customHeight="1">
      <c r="A5" s="7" t="s">
        <v>45</v>
      </c>
      <c r="B5" s="8" t="s">
        <v>46</v>
      </c>
      <c r="C5" s="8" t="s">
        <v>47</v>
      </c>
      <c r="D5" s="9" t="s">
        <v>48</v>
      </c>
      <c r="E5" s="9" t="s">
        <v>49</v>
      </c>
      <c r="F5" s="7" t="s">
        <v>50</v>
      </c>
      <c r="G5" s="7" t="s">
        <v>51</v>
      </c>
      <c r="H5" s="7" t="s">
        <v>52</v>
      </c>
      <c r="I5" s="7" t="s">
        <v>53</v>
      </c>
      <c r="J5" s="7" t="s">
        <v>54</v>
      </c>
      <c r="K5" s="10" t="s">
        <v>55</v>
      </c>
      <c r="L5" s="7" t="s">
        <v>56</v>
      </c>
      <c r="M5" s="7" t="s">
        <v>57</v>
      </c>
      <c r="N5" s="7" t="s">
        <v>58</v>
      </c>
      <c r="O5" s="11" t="s">
        <v>59</v>
      </c>
      <c r="P5" s="11" t="s">
        <v>60</v>
      </c>
      <c r="Q5" s="11" t="s">
        <v>61</v>
      </c>
      <c r="R5" s="11" t="s">
        <v>62</v>
      </c>
      <c r="S5" s="12" t="s">
        <v>63</v>
      </c>
      <c r="T5" s="724"/>
    </row>
    <row r="6" spans="1:20" ht="53.25" customHeight="1">
      <c r="A6" s="20" t="s">
        <v>8</v>
      </c>
      <c r="B6" s="21" t="s">
        <v>64</v>
      </c>
      <c r="C6" s="31" t="s">
        <v>65</v>
      </c>
      <c r="D6" s="23" t="s">
        <v>66</v>
      </c>
      <c r="E6" s="24" t="s">
        <v>67</v>
      </c>
      <c r="F6" s="25" t="s">
        <v>68</v>
      </c>
      <c r="G6" s="26" t="s">
        <v>69</v>
      </c>
      <c r="H6" s="20">
        <v>20</v>
      </c>
      <c r="I6" s="27">
        <v>35000</v>
      </c>
      <c r="J6" s="26">
        <v>1</v>
      </c>
      <c r="K6" s="29">
        <f t="shared" ref="K6:K35" si="0">I6*J6</f>
        <v>35000</v>
      </c>
      <c r="L6" s="29">
        <f>K6*0.09</f>
        <v>3150</v>
      </c>
      <c r="M6" s="29"/>
      <c r="N6" s="30">
        <f t="shared" ref="N6:N35" si="1">K6+L6+M6</f>
        <v>38150</v>
      </c>
      <c r="O6" s="16"/>
      <c r="P6" s="16"/>
      <c r="Q6" s="17" t="s">
        <v>70</v>
      </c>
      <c r="R6" s="16" t="s">
        <v>70</v>
      </c>
      <c r="S6" s="18"/>
      <c r="T6" s="13" t="s">
        <v>71</v>
      </c>
    </row>
    <row r="7" spans="1:20" ht="24" customHeight="1">
      <c r="A7" s="20" t="s">
        <v>8</v>
      </c>
      <c r="B7" s="21" t="s">
        <v>64</v>
      </c>
      <c r="C7" s="31" t="s">
        <v>72</v>
      </c>
      <c r="D7" s="13" t="s">
        <v>73</v>
      </c>
      <c r="E7" s="24" t="s">
        <v>74</v>
      </c>
      <c r="F7" s="25" t="s">
        <v>75</v>
      </c>
      <c r="G7" s="25" t="s">
        <v>76</v>
      </c>
      <c r="H7" s="20">
        <v>1</v>
      </c>
      <c r="I7" s="29">
        <v>2868</v>
      </c>
      <c r="J7" s="26">
        <v>1</v>
      </c>
      <c r="K7" s="29">
        <f t="shared" si="0"/>
        <v>2868</v>
      </c>
      <c r="L7" s="29">
        <f>K7*0.09125</f>
        <v>261.70499999999998</v>
      </c>
      <c r="M7" s="29">
        <v>0</v>
      </c>
      <c r="N7" s="30">
        <f t="shared" si="1"/>
        <v>3129.7049999999999</v>
      </c>
      <c r="O7" s="17"/>
      <c r="P7" s="16"/>
      <c r="Q7" s="16"/>
      <c r="R7" s="16"/>
      <c r="S7" s="18"/>
      <c r="T7" s="13"/>
    </row>
    <row r="8" spans="1:20" ht="24" customHeight="1">
      <c r="A8" s="20" t="s">
        <v>8</v>
      </c>
      <c r="B8" s="21" t="s">
        <v>64</v>
      </c>
      <c r="C8" s="31" t="s">
        <v>72</v>
      </c>
      <c r="D8" s="13" t="s">
        <v>77</v>
      </c>
      <c r="E8" s="24" t="s">
        <v>74</v>
      </c>
      <c r="F8" s="25" t="s">
        <v>75</v>
      </c>
      <c r="G8" s="25" t="s">
        <v>76</v>
      </c>
      <c r="H8" s="20">
        <v>1</v>
      </c>
      <c r="I8" s="29">
        <v>1000</v>
      </c>
      <c r="J8" s="26">
        <v>1</v>
      </c>
      <c r="K8" s="29">
        <f t="shared" si="0"/>
        <v>1000</v>
      </c>
      <c r="L8" s="29">
        <f>K8*0.09125</f>
        <v>91.25</v>
      </c>
      <c r="M8" s="29">
        <v>0</v>
      </c>
      <c r="N8" s="30">
        <f t="shared" si="1"/>
        <v>1091.25</v>
      </c>
      <c r="O8" s="17"/>
      <c r="P8" s="16"/>
      <c r="Q8" s="16"/>
      <c r="R8" s="16"/>
      <c r="S8" s="18"/>
      <c r="T8" s="13"/>
    </row>
    <row r="9" spans="1:20" ht="24" customHeight="1">
      <c r="A9" s="20" t="s">
        <v>8</v>
      </c>
      <c r="B9" s="21" t="s">
        <v>64</v>
      </c>
      <c r="C9" s="31" t="s">
        <v>72</v>
      </c>
      <c r="D9" s="13" t="s">
        <v>78</v>
      </c>
      <c r="E9" s="24" t="s">
        <v>79</v>
      </c>
      <c r="F9" s="25" t="s">
        <v>75</v>
      </c>
      <c r="G9" s="25" t="s">
        <v>76</v>
      </c>
      <c r="H9" s="20">
        <v>1</v>
      </c>
      <c r="I9" s="29">
        <v>1000</v>
      </c>
      <c r="J9" s="26">
        <v>1</v>
      </c>
      <c r="K9" s="29">
        <f t="shared" si="0"/>
        <v>1000</v>
      </c>
      <c r="L9" s="29">
        <v>0</v>
      </c>
      <c r="M9" s="29">
        <v>0</v>
      </c>
      <c r="N9" s="30">
        <f t="shared" si="1"/>
        <v>1000</v>
      </c>
      <c r="O9" s="48"/>
      <c r="P9" s="26"/>
      <c r="Q9" s="26"/>
      <c r="R9" s="26"/>
      <c r="S9" s="66"/>
      <c r="T9" s="13"/>
    </row>
    <row r="10" spans="1:20" ht="24" customHeight="1">
      <c r="A10" s="20" t="s">
        <v>8</v>
      </c>
      <c r="B10" s="21" t="s">
        <v>64</v>
      </c>
      <c r="C10" s="31" t="s">
        <v>72</v>
      </c>
      <c r="D10" s="13" t="s">
        <v>80</v>
      </c>
      <c r="E10" s="24" t="s">
        <v>79</v>
      </c>
      <c r="F10" s="25" t="s">
        <v>75</v>
      </c>
      <c r="G10" s="25" t="s">
        <v>76</v>
      </c>
      <c r="H10" s="20">
        <v>1</v>
      </c>
      <c r="I10" s="29">
        <v>1300</v>
      </c>
      <c r="J10" s="26">
        <v>1</v>
      </c>
      <c r="K10" s="29">
        <f t="shared" si="0"/>
        <v>1300</v>
      </c>
      <c r="L10" s="29">
        <v>0</v>
      </c>
      <c r="M10" s="29">
        <v>0</v>
      </c>
      <c r="N10" s="30">
        <f t="shared" si="1"/>
        <v>1300</v>
      </c>
      <c r="O10" s="17"/>
      <c r="P10" s="16"/>
      <c r="Q10" s="16"/>
      <c r="R10" s="16"/>
      <c r="S10" s="19"/>
      <c r="T10" s="13"/>
    </row>
    <row r="11" spans="1:20" ht="24" customHeight="1">
      <c r="A11" s="20" t="s">
        <v>8</v>
      </c>
      <c r="B11" s="21" t="s">
        <v>64</v>
      </c>
      <c r="C11" s="22" t="s">
        <v>81</v>
      </c>
      <c r="D11" s="23" t="s">
        <v>82</v>
      </c>
      <c r="E11" s="24" t="s">
        <v>83</v>
      </c>
      <c r="F11" s="25" t="s">
        <v>75</v>
      </c>
      <c r="G11" s="26" t="s">
        <v>84</v>
      </c>
      <c r="H11" s="20">
        <v>1</v>
      </c>
      <c r="I11" s="27">
        <v>5000</v>
      </c>
      <c r="J11" s="26">
        <v>2</v>
      </c>
      <c r="K11" s="29">
        <f t="shared" si="0"/>
        <v>10000</v>
      </c>
      <c r="L11" s="29">
        <v>0</v>
      </c>
      <c r="M11" s="29">
        <v>0</v>
      </c>
      <c r="N11" s="30">
        <f t="shared" si="1"/>
        <v>10000</v>
      </c>
      <c r="O11" s="16"/>
      <c r="P11" s="16"/>
      <c r="Q11" s="17" t="s">
        <v>70</v>
      </c>
      <c r="R11" s="16" t="s">
        <v>70</v>
      </c>
      <c r="S11" s="18"/>
      <c r="T11" s="13"/>
    </row>
    <row r="12" spans="1:20" ht="24" customHeight="1">
      <c r="A12" s="20" t="s">
        <v>8</v>
      </c>
      <c r="B12" s="21" t="s">
        <v>64</v>
      </c>
      <c r="C12" s="31" t="s">
        <v>81</v>
      </c>
      <c r="D12" s="23" t="s">
        <v>85</v>
      </c>
      <c r="E12" s="24" t="s">
        <v>86</v>
      </c>
      <c r="F12" s="25" t="s">
        <v>75</v>
      </c>
      <c r="G12" s="25" t="s">
        <v>84</v>
      </c>
      <c r="H12" s="20">
        <v>1</v>
      </c>
      <c r="I12" s="29">
        <v>2000</v>
      </c>
      <c r="J12" s="26">
        <v>1</v>
      </c>
      <c r="K12" s="29">
        <f t="shared" si="0"/>
        <v>2000</v>
      </c>
      <c r="L12" s="29">
        <v>0</v>
      </c>
      <c r="M12" s="29">
        <v>0</v>
      </c>
      <c r="N12" s="30">
        <f t="shared" si="1"/>
        <v>2000</v>
      </c>
      <c r="O12" s="16"/>
      <c r="P12" s="16"/>
      <c r="Q12" s="17" t="s">
        <v>70</v>
      </c>
      <c r="R12" s="16" t="s">
        <v>70</v>
      </c>
      <c r="S12" s="18"/>
      <c r="T12" s="13"/>
    </row>
    <row r="13" spans="1:20" ht="24" customHeight="1">
      <c r="A13" s="20" t="s">
        <v>8</v>
      </c>
      <c r="B13" s="21" t="s">
        <v>87</v>
      </c>
      <c r="C13" s="31" t="s">
        <v>65</v>
      </c>
      <c r="D13" s="23" t="s">
        <v>88</v>
      </c>
      <c r="E13" s="24" t="s">
        <v>74</v>
      </c>
      <c r="F13" s="25" t="s">
        <v>75</v>
      </c>
      <c r="G13" s="25" t="s">
        <v>76</v>
      </c>
      <c r="H13" s="20">
        <v>30</v>
      </c>
      <c r="I13" s="29">
        <v>5200</v>
      </c>
      <c r="J13" s="26">
        <v>1</v>
      </c>
      <c r="K13" s="29">
        <f t="shared" si="0"/>
        <v>5200</v>
      </c>
      <c r="L13" s="29">
        <f t="shared" ref="L13:L23" si="2">K13*0.09125</f>
        <v>474.5</v>
      </c>
      <c r="M13" s="29">
        <v>600</v>
      </c>
      <c r="N13" s="30">
        <f t="shared" si="1"/>
        <v>6274.5</v>
      </c>
      <c r="O13" s="16"/>
      <c r="P13" s="16"/>
      <c r="Q13" s="17" t="s">
        <v>70</v>
      </c>
      <c r="R13" s="16" t="s">
        <v>70</v>
      </c>
      <c r="S13" s="18"/>
      <c r="T13" s="13" t="s">
        <v>89</v>
      </c>
    </row>
    <row r="14" spans="1:20" ht="24" customHeight="1">
      <c r="A14" s="20" t="s">
        <v>8</v>
      </c>
      <c r="B14" s="21" t="s">
        <v>64</v>
      </c>
      <c r="C14" s="31" t="s">
        <v>65</v>
      </c>
      <c r="D14" s="23" t="s">
        <v>90</v>
      </c>
      <c r="E14" s="24" t="s">
        <v>74</v>
      </c>
      <c r="F14" s="25" t="s">
        <v>75</v>
      </c>
      <c r="G14" s="25" t="s">
        <v>76</v>
      </c>
      <c r="H14" s="20">
        <v>40</v>
      </c>
      <c r="I14" s="29">
        <v>15000</v>
      </c>
      <c r="J14" s="26">
        <v>1</v>
      </c>
      <c r="K14" s="29">
        <f t="shared" si="0"/>
        <v>15000</v>
      </c>
      <c r="L14" s="29">
        <f t="shared" si="2"/>
        <v>1368.75</v>
      </c>
      <c r="M14" s="29">
        <v>500</v>
      </c>
      <c r="N14" s="30">
        <f t="shared" si="1"/>
        <v>16868.75</v>
      </c>
      <c r="O14" s="16"/>
      <c r="P14" s="16"/>
      <c r="Q14" s="17" t="s">
        <v>70</v>
      </c>
      <c r="R14" s="16" t="s">
        <v>70</v>
      </c>
      <c r="S14" s="18"/>
      <c r="T14" s="13"/>
    </row>
    <row r="15" spans="1:20" ht="24" customHeight="1">
      <c r="A15" s="20" t="s">
        <v>8</v>
      </c>
      <c r="B15" s="21" t="s">
        <v>64</v>
      </c>
      <c r="C15" s="31" t="s">
        <v>65</v>
      </c>
      <c r="D15" s="23" t="s">
        <v>91</v>
      </c>
      <c r="E15" s="24" t="s">
        <v>74</v>
      </c>
      <c r="F15" s="25" t="s">
        <v>75</v>
      </c>
      <c r="G15" s="25" t="s">
        <v>76</v>
      </c>
      <c r="H15" s="20">
        <v>10</v>
      </c>
      <c r="I15" s="29">
        <v>7300</v>
      </c>
      <c r="J15" s="26">
        <v>1</v>
      </c>
      <c r="K15" s="29">
        <f t="shared" si="0"/>
        <v>7300</v>
      </c>
      <c r="L15" s="29">
        <f t="shared" si="2"/>
        <v>666.125</v>
      </c>
      <c r="M15" s="29">
        <v>600</v>
      </c>
      <c r="N15" s="30">
        <f t="shared" si="1"/>
        <v>8566.125</v>
      </c>
      <c r="O15" s="16"/>
      <c r="P15" s="16"/>
      <c r="Q15" s="17" t="s">
        <v>70</v>
      </c>
      <c r="R15" s="16" t="s">
        <v>70</v>
      </c>
      <c r="S15" s="18"/>
      <c r="T15" s="13"/>
    </row>
    <row r="16" spans="1:20" ht="24" customHeight="1">
      <c r="A16" s="20" t="s">
        <v>8</v>
      </c>
      <c r="B16" s="21" t="s">
        <v>87</v>
      </c>
      <c r="C16" s="31" t="s">
        <v>65</v>
      </c>
      <c r="D16" s="23" t="s">
        <v>92</v>
      </c>
      <c r="E16" s="24" t="s">
        <v>74</v>
      </c>
      <c r="F16" s="25" t="s">
        <v>75</v>
      </c>
      <c r="G16" s="25" t="s">
        <v>76</v>
      </c>
      <c r="H16" s="20">
        <v>40</v>
      </c>
      <c r="I16" s="29">
        <v>18500</v>
      </c>
      <c r="J16" s="26">
        <v>1</v>
      </c>
      <c r="K16" s="29">
        <f t="shared" si="0"/>
        <v>18500</v>
      </c>
      <c r="L16" s="29">
        <f t="shared" si="2"/>
        <v>1688.125</v>
      </c>
      <c r="M16" s="29">
        <v>700</v>
      </c>
      <c r="N16" s="30">
        <f t="shared" si="1"/>
        <v>20888.125</v>
      </c>
      <c r="O16" s="16"/>
      <c r="P16" s="16"/>
      <c r="Q16" s="17" t="s">
        <v>70</v>
      </c>
      <c r="R16" s="16" t="s">
        <v>70</v>
      </c>
      <c r="S16" s="18"/>
      <c r="T16" s="13" t="s">
        <v>93</v>
      </c>
    </row>
    <row r="17" spans="1:20" ht="24" customHeight="1">
      <c r="A17" s="20" t="s">
        <v>8</v>
      </c>
      <c r="B17" s="21" t="s">
        <v>64</v>
      </c>
      <c r="C17" s="31" t="s">
        <v>94</v>
      </c>
      <c r="D17" s="23" t="s">
        <v>95</v>
      </c>
      <c r="E17" s="24" t="s">
        <v>74</v>
      </c>
      <c r="F17" s="25" t="s">
        <v>75</v>
      </c>
      <c r="G17" s="25" t="s">
        <v>76</v>
      </c>
      <c r="H17" s="20">
        <v>5</v>
      </c>
      <c r="I17" s="29">
        <v>1500</v>
      </c>
      <c r="J17" s="26">
        <v>13</v>
      </c>
      <c r="K17" s="29">
        <f t="shared" si="0"/>
        <v>19500</v>
      </c>
      <c r="L17" s="29">
        <f t="shared" si="2"/>
        <v>1779.375</v>
      </c>
      <c r="M17" s="29">
        <v>0</v>
      </c>
      <c r="N17" s="30">
        <f t="shared" si="1"/>
        <v>21279.375</v>
      </c>
      <c r="O17" s="16"/>
      <c r="P17" s="16"/>
      <c r="Q17" s="17" t="s">
        <v>70</v>
      </c>
      <c r="R17" s="16" t="s">
        <v>70</v>
      </c>
      <c r="S17" s="18"/>
      <c r="T17" s="13"/>
    </row>
    <row r="18" spans="1:20" ht="24" customHeight="1">
      <c r="A18" s="20" t="s">
        <v>8</v>
      </c>
      <c r="B18" s="21" t="s">
        <v>87</v>
      </c>
      <c r="C18" s="31" t="s">
        <v>65</v>
      </c>
      <c r="D18" s="23" t="s">
        <v>96</v>
      </c>
      <c r="E18" s="24" t="s">
        <v>74</v>
      </c>
      <c r="F18" s="25" t="s">
        <v>75</v>
      </c>
      <c r="G18" s="25" t="s">
        <v>84</v>
      </c>
      <c r="H18" s="20">
        <v>25</v>
      </c>
      <c r="I18" s="29">
        <v>86390</v>
      </c>
      <c r="J18" s="26">
        <v>1</v>
      </c>
      <c r="K18" s="29">
        <f t="shared" si="0"/>
        <v>86390</v>
      </c>
      <c r="L18" s="29">
        <f t="shared" si="2"/>
        <v>7883.0874999999996</v>
      </c>
      <c r="M18" s="29"/>
      <c r="N18" s="30">
        <f t="shared" si="1"/>
        <v>94273.087499999994</v>
      </c>
      <c r="O18" s="16"/>
      <c r="P18" s="16"/>
      <c r="Q18" s="17" t="s">
        <v>70</v>
      </c>
      <c r="R18" s="16" t="s">
        <v>70</v>
      </c>
      <c r="S18" s="18"/>
      <c r="T18" s="13"/>
    </row>
    <row r="19" spans="1:20" ht="24" customHeight="1">
      <c r="A19" s="20" t="s">
        <v>8</v>
      </c>
      <c r="B19" s="21" t="s">
        <v>64</v>
      </c>
      <c r="C19" s="31" t="s">
        <v>97</v>
      </c>
      <c r="D19" s="23" t="s">
        <v>98</v>
      </c>
      <c r="E19" s="24" t="s">
        <v>74</v>
      </c>
      <c r="F19" s="25" t="s">
        <v>75</v>
      </c>
      <c r="G19" s="25" t="s">
        <v>69</v>
      </c>
      <c r="H19" s="20">
        <v>10</v>
      </c>
      <c r="I19" s="29">
        <v>800</v>
      </c>
      <c r="J19" s="26">
        <v>12</v>
      </c>
      <c r="K19" s="29">
        <f t="shared" si="0"/>
        <v>9600</v>
      </c>
      <c r="L19" s="29">
        <f t="shared" si="2"/>
        <v>876</v>
      </c>
      <c r="M19" s="29">
        <v>400</v>
      </c>
      <c r="N19" s="30">
        <f t="shared" si="1"/>
        <v>10876</v>
      </c>
      <c r="O19" s="16"/>
      <c r="P19" s="16"/>
      <c r="Q19" s="17" t="s">
        <v>70</v>
      </c>
      <c r="R19" s="16" t="s">
        <v>70</v>
      </c>
      <c r="S19" s="18"/>
      <c r="T19" s="13" t="s">
        <v>99</v>
      </c>
    </row>
    <row r="20" spans="1:20" ht="45" customHeight="1">
      <c r="A20" s="20" t="s">
        <v>8</v>
      </c>
      <c r="B20" s="21" t="s">
        <v>64</v>
      </c>
      <c r="C20" s="31" t="s">
        <v>100</v>
      </c>
      <c r="D20" s="23" t="s">
        <v>101</v>
      </c>
      <c r="E20" s="24" t="s">
        <v>74</v>
      </c>
      <c r="F20" s="25" t="s">
        <v>75</v>
      </c>
      <c r="G20" s="25" t="s">
        <v>69</v>
      </c>
      <c r="H20" s="20">
        <v>10</v>
      </c>
      <c r="I20" s="29">
        <v>500</v>
      </c>
      <c r="J20" s="26">
        <v>3</v>
      </c>
      <c r="K20" s="29">
        <f t="shared" si="0"/>
        <v>1500</v>
      </c>
      <c r="L20" s="29">
        <f t="shared" si="2"/>
        <v>136.875</v>
      </c>
      <c r="M20" s="29">
        <v>100</v>
      </c>
      <c r="N20" s="30">
        <f t="shared" si="1"/>
        <v>1736.875</v>
      </c>
      <c r="O20" s="16"/>
      <c r="P20" s="16"/>
      <c r="Q20" s="17" t="s">
        <v>70</v>
      </c>
      <c r="R20" s="16" t="s">
        <v>70</v>
      </c>
      <c r="S20" s="18"/>
      <c r="T20" s="13"/>
    </row>
    <row r="21" spans="1:20" ht="24" customHeight="1">
      <c r="A21" s="20" t="s">
        <v>8</v>
      </c>
      <c r="B21" s="21" t="s">
        <v>64</v>
      </c>
      <c r="C21" s="31" t="s">
        <v>100</v>
      </c>
      <c r="D21" s="23" t="s">
        <v>102</v>
      </c>
      <c r="E21" s="24" t="s">
        <v>74</v>
      </c>
      <c r="F21" s="25" t="s">
        <v>75</v>
      </c>
      <c r="G21" s="25" t="s">
        <v>69</v>
      </c>
      <c r="H21" s="20">
        <v>20</v>
      </c>
      <c r="I21" s="29">
        <v>1700</v>
      </c>
      <c r="J21" s="26">
        <v>3</v>
      </c>
      <c r="K21" s="29">
        <f t="shared" si="0"/>
        <v>5100</v>
      </c>
      <c r="L21" s="29">
        <f t="shared" si="2"/>
        <v>465.375</v>
      </c>
      <c r="M21" s="29">
        <v>100</v>
      </c>
      <c r="N21" s="30">
        <f t="shared" si="1"/>
        <v>5665.375</v>
      </c>
      <c r="O21" s="16"/>
      <c r="P21" s="16"/>
      <c r="Q21" s="17" t="s">
        <v>70</v>
      </c>
      <c r="R21" s="16" t="s">
        <v>70</v>
      </c>
      <c r="S21" s="18"/>
      <c r="T21" s="13"/>
    </row>
    <row r="22" spans="1:20" ht="24" customHeight="1">
      <c r="A22" s="20" t="s">
        <v>8</v>
      </c>
      <c r="B22" s="21" t="s">
        <v>64</v>
      </c>
      <c r="C22" s="31" t="s">
        <v>103</v>
      </c>
      <c r="D22" s="23" t="s">
        <v>104</v>
      </c>
      <c r="E22" s="24" t="s">
        <v>74</v>
      </c>
      <c r="F22" s="25" t="s">
        <v>75</v>
      </c>
      <c r="G22" s="25" t="s">
        <v>69</v>
      </c>
      <c r="H22" s="20">
        <v>5</v>
      </c>
      <c r="I22" s="29">
        <v>65</v>
      </c>
      <c r="J22" s="26">
        <v>13</v>
      </c>
      <c r="K22" s="29">
        <f t="shared" si="0"/>
        <v>845</v>
      </c>
      <c r="L22" s="29">
        <f t="shared" si="2"/>
        <v>77.106250000000003</v>
      </c>
      <c r="M22" s="29">
        <v>0</v>
      </c>
      <c r="N22" s="30">
        <f t="shared" si="1"/>
        <v>922.10625000000005</v>
      </c>
      <c r="O22" s="16"/>
      <c r="P22" s="16"/>
      <c r="Q22" s="17" t="s">
        <v>70</v>
      </c>
      <c r="R22" s="16" t="s">
        <v>70</v>
      </c>
      <c r="S22" s="18"/>
      <c r="T22" s="13"/>
    </row>
    <row r="23" spans="1:20" ht="24" customHeight="1">
      <c r="A23" s="20" t="s">
        <v>8</v>
      </c>
      <c r="B23" s="21" t="s">
        <v>87</v>
      </c>
      <c r="C23" s="31" t="s">
        <v>105</v>
      </c>
      <c r="D23" s="23" t="s">
        <v>106</v>
      </c>
      <c r="E23" s="24" t="s">
        <v>74</v>
      </c>
      <c r="F23" s="25" t="s">
        <v>107</v>
      </c>
      <c r="G23" s="25" t="s">
        <v>76</v>
      </c>
      <c r="H23" s="20">
        <v>45</v>
      </c>
      <c r="I23" s="29">
        <v>200000</v>
      </c>
      <c r="J23" s="26">
        <v>1</v>
      </c>
      <c r="K23" s="29">
        <f t="shared" si="0"/>
        <v>200000</v>
      </c>
      <c r="L23" s="29">
        <f t="shared" si="2"/>
        <v>18250</v>
      </c>
      <c r="M23" s="29">
        <v>0</v>
      </c>
      <c r="N23" s="30">
        <f t="shared" si="1"/>
        <v>218250</v>
      </c>
      <c r="O23" s="16"/>
      <c r="P23" s="16"/>
      <c r="Q23" s="17"/>
      <c r="R23" s="16"/>
      <c r="S23" s="18"/>
      <c r="T23" s="13" t="s">
        <v>108</v>
      </c>
    </row>
    <row r="24" spans="1:20" ht="21.75" customHeight="1">
      <c r="A24" s="20" t="s">
        <v>8</v>
      </c>
      <c r="B24" s="21" t="s">
        <v>87</v>
      </c>
      <c r="C24" s="31" t="s">
        <v>105</v>
      </c>
      <c r="D24" s="65" t="s">
        <v>109</v>
      </c>
      <c r="E24" s="24" t="s">
        <v>110</v>
      </c>
      <c r="F24" s="25" t="s">
        <v>107</v>
      </c>
      <c r="G24" s="25" t="s">
        <v>84</v>
      </c>
      <c r="H24" s="20">
        <v>45</v>
      </c>
      <c r="I24" s="29">
        <v>1000000</v>
      </c>
      <c r="J24" s="26">
        <v>1</v>
      </c>
      <c r="K24" s="29">
        <f t="shared" si="0"/>
        <v>1000000</v>
      </c>
      <c r="L24" s="29"/>
      <c r="M24" s="29"/>
      <c r="N24" s="30">
        <f t="shared" si="1"/>
        <v>1000000</v>
      </c>
      <c r="O24" s="16"/>
      <c r="P24" s="16"/>
      <c r="Q24" s="17"/>
      <c r="R24" s="16"/>
      <c r="S24" s="18"/>
      <c r="T24" s="13"/>
    </row>
    <row r="25" spans="1:20" ht="21.75" customHeight="1">
      <c r="A25" s="20" t="s">
        <v>8</v>
      </c>
      <c r="B25" s="21" t="s">
        <v>87</v>
      </c>
      <c r="C25" s="31" t="s">
        <v>105</v>
      </c>
      <c r="D25" s="65" t="s">
        <v>111</v>
      </c>
      <c r="E25" s="24" t="s">
        <v>110</v>
      </c>
      <c r="F25" s="25" t="s">
        <v>107</v>
      </c>
      <c r="G25" s="25" t="s">
        <v>84</v>
      </c>
      <c r="H25" s="20">
        <v>50</v>
      </c>
      <c r="I25" s="29">
        <v>40000000</v>
      </c>
      <c r="J25" s="26">
        <v>1</v>
      </c>
      <c r="K25" s="29">
        <f t="shared" si="0"/>
        <v>40000000</v>
      </c>
      <c r="L25" s="29"/>
      <c r="M25" s="29"/>
      <c r="N25" s="30">
        <f t="shared" si="1"/>
        <v>40000000</v>
      </c>
      <c r="O25" s="16"/>
      <c r="P25" s="16"/>
      <c r="Q25" s="17"/>
      <c r="R25" s="16"/>
      <c r="S25" s="18"/>
      <c r="T25" s="13"/>
    </row>
    <row r="26" spans="1:20" ht="21.75" customHeight="1">
      <c r="A26" s="20" t="s">
        <v>8</v>
      </c>
      <c r="B26" s="21" t="s">
        <v>64</v>
      </c>
      <c r="C26" s="31" t="s">
        <v>65</v>
      </c>
      <c r="D26" s="65" t="s">
        <v>112</v>
      </c>
      <c r="E26" s="24" t="s">
        <v>74</v>
      </c>
      <c r="F26" s="25" t="s">
        <v>75</v>
      </c>
      <c r="G26" s="25" t="s">
        <v>76</v>
      </c>
      <c r="H26" s="20">
        <v>20</v>
      </c>
      <c r="I26" s="29">
        <v>3500</v>
      </c>
      <c r="J26" s="26">
        <v>1</v>
      </c>
      <c r="K26" s="29">
        <f t="shared" si="0"/>
        <v>3500</v>
      </c>
      <c r="L26" s="29">
        <f t="shared" ref="L26:L35" si="3">K26*0.09125</f>
        <v>319.375</v>
      </c>
      <c r="M26" s="29">
        <v>850</v>
      </c>
      <c r="N26" s="30">
        <f t="shared" si="1"/>
        <v>4669.375</v>
      </c>
      <c r="O26" s="16"/>
      <c r="P26" s="16"/>
      <c r="Q26" s="17" t="s">
        <v>70</v>
      </c>
      <c r="R26" s="16" t="s">
        <v>70</v>
      </c>
      <c r="S26" s="18"/>
      <c r="T26" s="13"/>
    </row>
    <row r="27" spans="1:20" ht="21.75" customHeight="1">
      <c r="A27" s="20" t="s">
        <v>8</v>
      </c>
      <c r="B27" s="21" t="s">
        <v>64</v>
      </c>
      <c r="C27" s="31" t="s">
        <v>113</v>
      </c>
      <c r="D27" s="65" t="s">
        <v>114</v>
      </c>
      <c r="E27" s="24" t="s">
        <v>74</v>
      </c>
      <c r="F27" s="25" t="s">
        <v>75</v>
      </c>
      <c r="G27" s="25" t="s">
        <v>76</v>
      </c>
      <c r="H27" s="20">
        <v>5</v>
      </c>
      <c r="I27" s="29">
        <v>60</v>
      </c>
      <c r="J27" s="26">
        <v>24</v>
      </c>
      <c r="K27" s="29">
        <f>I27*J27</f>
        <v>1440</v>
      </c>
      <c r="L27" s="29">
        <f t="shared" si="3"/>
        <v>131.4</v>
      </c>
      <c r="M27" s="29">
        <v>50</v>
      </c>
      <c r="N27" s="30">
        <f t="shared" si="1"/>
        <v>1621.4</v>
      </c>
      <c r="O27" s="16"/>
      <c r="P27" s="16"/>
      <c r="Q27" s="17" t="s">
        <v>70</v>
      </c>
      <c r="R27" s="16" t="s">
        <v>70</v>
      </c>
      <c r="S27" s="18"/>
      <c r="T27" s="13"/>
    </row>
    <row r="28" spans="1:20" ht="21.75" customHeight="1">
      <c r="A28" s="20" t="s">
        <v>8</v>
      </c>
      <c r="B28" s="21" t="s">
        <v>64</v>
      </c>
      <c r="C28" s="31" t="s">
        <v>65</v>
      </c>
      <c r="D28" s="65" t="s">
        <v>115</v>
      </c>
      <c r="E28" s="24" t="s">
        <v>74</v>
      </c>
      <c r="F28" s="25" t="s">
        <v>75</v>
      </c>
      <c r="G28" s="25" t="s">
        <v>84</v>
      </c>
      <c r="H28" s="20">
        <v>5</v>
      </c>
      <c r="I28" s="29">
        <v>1950</v>
      </c>
      <c r="J28" s="26">
        <v>1</v>
      </c>
      <c r="K28" s="29">
        <f t="shared" si="0"/>
        <v>1950</v>
      </c>
      <c r="L28" s="29">
        <f t="shared" si="3"/>
        <v>177.9375</v>
      </c>
      <c r="M28" s="29">
        <v>100</v>
      </c>
      <c r="N28" s="30">
        <f t="shared" si="1"/>
        <v>2227.9375</v>
      </c>
      <c r="O28" s="16"/>
      <c r="P28" s="16"/>
      <c r="Q28" s="17" t="s">
        <v>70</v>
      </c>
      <c r="R28" s="16" t="s">
        <v>70</v>
      </c>
      <c r="S28" s="18"/>
      <c r="T28" s="13"/>
    </row>
    <row r="29" spans="1:20" ht="21.75" customHeight="1">
      <c r="A29" s="20" t="s">
        <v>8</v>
      </c>
      <c r="B29" s="21" t="s">
        <v>64</v>
      </c>
      <c r="C29" s="31" t="s">
        <v>65</v>
      </c>
      <c r="D29" s="65" t="s">
        <v>116</v>
      </c>
      <c r="E29" s="24" t="s">
        <v>74</v>
      </c>
      <c r="F29" s="25" t="s">
        <v>75</v>
      </c>
      <c r="G29" s="25" t="s">
        <v>76</v>
      </c>
      <c r="H29" s="20">
        <v>5</v>
      </c>
      <c r="I29" s="29">
        <v>121.5</v>
      </c>
      <c r="J29" s="26">
        <v>10</v>
      </c>
      <c r="K29" s="29">
        <f t="shared" si="0"/>
        <v>1215</v>
      </c>
      <c r="L29" s="29">
        <f t="shared" si="3"/>
        <v>110.86874999999999</v>
      </c>
      <c r="M29" s="29"/>
      <c r="N29" s="30">
        <f t="shared" si="1"/>
        <v>1325.8687500000001</v>
      </c>
      <c r="O29" s="16"/>
      <c r="P29" s="16"/>
      <c r="Q29" s="17" t="s">
        <v>70</v>
      </c>
      <c r="R29" s="16" t="s">
        <v>70</v>
      </c>
      <c r="S29" s="18"/>
      <c r="T29" s="13"/>
    </row>
    <row r="30" spans="1:20" ht="21.75" customHeight="1">
      <c r="A30" s="20" t="s">
        <v>8</v>
      </c>
      <c r="B30" s="21" t="s">
        <v>64</v>
      </c>
      <c r="C30" s="31" t="s">
        <v>65</v>
      </c>
      <c r="D30" s="65" t="s">
        <v>117</v>
      </c>
      <c r="E30" s="24" t="s">
        <v>74</v>
      </c>
      <c r="F30" s="25" t="s">
        <v>75</v>
      </c>
      <c r="G30" s="25" t="s">
        <v>84</v>
      </c>
      <c r="H30" s="20">
        <v>5</v>
      </c>
      <c r="I30" s="29">
        <v>36</v>
      </c>
      <c r="J30" s="26">
        <v>10</v>
      </c>
      <c r="K30" s="29">
        <f t="shared" si="0"/>
        <v>360</v>
      </c>
      <c r="L30" s="29">
        <f t="shared" si="3"/>
        <v>32.85</v>
      </c>
      <c r="M30" s="29"/>
      <c r="N30" s="30">
        <f t="shared" si="1"/>
        <v>392.85</v>
      </c>
      <c r="O30" s="16"/>
      <c r="P30" s="16"/>
      <c r="Q30" s="17" t="s">
        <v>70</v>
      </c>
      <c r="R30" s="16" t="s">
        <v>70</v>
      </c>
      <c r="S30" s="18"/>
      <c r="T30" s="13"/>
    </row>
    <row r="31" spans="1:20" ht="21.75" customHeight="1">
      <c r="A31" s="20" t="s">
        <v>8</v>
      </c>
      <c r="B31" s="21" t="s">
        <v>118</v>
      </c>
      <c r="C31" s="31" t="s">
        <v>65</v>
      </c>
      <c r="D31" s="65" t="s">
        <v>119</v>
      </c>
      <c r="E31" s="24" t="s">
        <v>74</v>
      </c>
      <c r="F31" s="25" t="s">
        <v>75</v>
      </c>
      <c r="G31" s="25" t="s">
        <v>84</v>
      </c>
      <c r="H31" s="20">
        <v>25</v>
      </c>
      <c r="I31" s="29">
        <v>4467</v>
      </c>
      <c r="J31" s="26">
        <v>1</v>
      </c>
      <c r="K31" s="29">
        <f t="shared" si="0"/>
        <v>4467</v>
      </c>
      <c r="L31" s="29">
        <f t="shared" si="3"/>
        <v>407.61374999999998</v>
      </c>
      <c r="M31" s="29">
        <v>400</v>
      </c>
      <c r="N31" s="30">
        <f t="shared" si="1"/>
        <v>5274.6137500000004</v>
      </c>
      <c r="O31" s="16"/>
      <c r="P31" s="16"/>
      <c r="Q31" s="17" t="s">
        <v>70</v>
      </c>
      <c r="R31" s="16" t="s">
        <v>70</v>
      </c>
      <c r="S31" s="18"/>
      <c r="T31" s="13"/>
    </row>
    <row r="32" spans="1:20" ht="21.75" customHeight="1">
      <c r="A32" s="20" t="s">
        <v>8</v>
      </c>
      <c r="B32" s="21" t="s">
        <v>64</v>
      </c>
      <c r="C32" s="31" t="s">
        <v>65</v>
      </c>
      <c r="D32" s="65" t="s">
        <v>120</v>
      </c>
      <c r="E32" s="24" t="s">
        <v>74</v>
      </c>
      <c r="F32" s="25" t="s">
        <v>75</v>
      </c>
      <c r="G32" s="25" t="s">
        <v>84</v>
      </c>
      <c r="H32" s="20">
        <v>10</v>
      </c>
      <c r="I32" s="29">
        <v>650</v>
      </c>
      <c r="J32" s="26">
        <v>4</v>
      </c>
      <c r="K32" s="29">
        <f t="shared" si="0"/>
        <v>2600</v>
      </c>
      <c r="L32" s="29">
        <f t="shared" si="3"/>
        <v>237.25</v>
      </c>
      <c r="M32" s="29"/>
      <c r="N32" s="30">
        <f t="shared" si="1"/>
        <v>2837.25</v>
      </c>
      <c r="O32" s="16"/>
      <c r="P32" s="16"/>
      <c r="Q32" s="17" t="s">
        <v>70</v>
      </c>
      <c r="R32" s="16" t="s">
        <v>70</v>
      </c>
      <c r="S32" s="18"/>
      <c r="T32" s="13"/>
    </row>
    <row r="33" spans="1:20" ht="21.75" customHeight="1">
      <c r="A33" s="20" t="s">
        <v>8</v>
      </c>
      <c r="B33" s="21" t="s">
        <v>118</v>
      </c>
      <c r="C33" s="31" t="s">
        <v>65</v>
      </c>
      <c r="D33" s="65" t="s">
        <v>121</v>
      </c>
      <c r="E33" s="24" t="s">
        <v>74</v>
      </c>
      <c r="F33" s="25" t="s">
        <v>75</v>
      </c>
      <c r="G33" s="25" t="s">
        <v>84</v>
      </c>
      <c r="H33" s="20">
        <v>10</v>
      </c>
      <c r="I33" s="29">
        <v>7000</v>
      </c>
      <c r="J33" s="26">
        <v>1</v>
      </c>
      <c r="K33" s="29">
        <f t="shared" si="0"/>
        <v>7000</v>
      </c>
      <c r="L33" s="29">
        <f t="shared" si="3"/>
        <v>638.75</v>
      </c>
      <c r="M33" s="29">
        <v>200</v>
      </c>
      <c r="N33" s="30">
        <f t="shared" si="1"/>
        <v>7838.75</v>
      </c>
      <c r="O33" s="16"/>
      <c r="P33" s="16"/>
      <c r="Q33" s="17" t="s">
        <v>70</v>
      </c>
      <c r="R33" s="16" t="s">
        <v>70</v>
      </c>
      <c r="S33" s="18"/>
      <c r="T33" s="13"/>
    </row>
    <row r="34" spans="1:20" ht="21.75" customHeight="1">
      <c r="A34" s="20" t="s">
        <v>8</v>
      </c>
      <c r="B34" s="21" t="s">
        <v>64</v>
      </c>
      <c r="C34" s="31" t="s">
        <v>113</v>
      </c>
      <c r="D34" s="65" t="s">
        <v>122</v>
      </c>
      <c r="E34" s="24" t="s">
        <v>74</v>
      </c>
      <c r="F34" s="25" t="s">
        <v>75</v>
      </c>
      <c r="G34" s="25" t="s">
        <v>84</v>
      </c>
      <c r="H34" s="20">
        <v>40</v>
      </c>
      <c r="I34" s="29">
        <v>3000</v>
      </c>
      <c r="J34" s="26">
        <v>1</v>
      </c>
      <c r="K34" s="29">
        <f t="shared" si="0"/>
        <v>3000</v>
      </c>
      <c r="L34" s="29">
        <f t="shared" si="3"/>
        <v>273.75</v>
      </c>
      <c r="M34" s="29">
        <v>25</v>
      </c>
      <c r="N34" s="30">
        <f t="shared" si="1"/>
        <v>3298.75</v>
      </c>
      <c r="O34" s="16"/>
      <c r="P34" s="16"/>
      <c r="Q34" s="17" t="s">
        <v>70</v>
      </c>
      <c r="R34" s="16" t="s">
        <v>70</v>
      </c>
      <c r="S34" s="18"/>
      <c r="T34" s="13"/>
    </row>
    <row r="35" spans="1:20" ht="21.75" customHeight="1">
      <c r="A35" s="20" t="s">
        <v>8</v>
      </c>
      <c r="B35" s="21" t="s">
        <v>64</v>
      </c>
      <c r="C35" s="31" t="s">
        <v>123</v>
      </c>
      <c r="D35" s="65" t="s">
        <v>124</v>
      </c>
      <c r="E35" s="15" t="s">
        <v>74</v>
      </c>
      <c r="F35" s="25" t="s">
        <v>75</v>
      </c>
      <c r="G35" s="25" t="s">
        <v>84</v>
      </c>
      <c r="H35" s="20">
        <v>1</v>
      </c>
      <c r="I35" s="28">
        <v>200</v>
      </c>
      <c r="J35" s="26">
        <v>4</v>
      </c>
      <c r="K35" s="28">
        <f t="shared" si="0"/>
        <v>800</v>
      </c>
      <c r="L35" s="29">
        <f t="shared" si="3"/>
        <v>73</v>
      </c>
      <c r="M35" s="29">
        <v>200</v>
      </c>
      <c r="N35" s="30">
        <f t="shared" si="1"/>
        <v>1073</v>
      </c>
      <c r="O35" s="16"/>
      <c r="P35" s="16"/>
      <c r="Q35" s="17"/>
      <c r="R35" s="16"/>
      <c r="S35" s="18"/>
      <c r="T35" s="13"/>
    </row>
    <row r="36" spans="1:20" ht="21.75" customHeight="1">
      <c r="A36" s="73"/>
      <c r="B36" s="87"/>
      <c r="C36" s="75"/>
      <c r="D36" s="88"/>
      <c r="E36" s="89"/>
      <c r="F36" s="90"/>
      <c r="G36" s="90"/>
      <c r="H36" s="73"/>
      <c r="I36" s="86"/>
      <c r="J36" s="84"/>
      <c r="K36" s="86"/>
      <c r="L36" s="86"/>
      <c r="M36" s="86"/>
      <c r="N36" s="91"/>
      <c r="O36" s="84"/>
      <c r="P36" s="84"/>
      <c r="Q36" s="85"/>
      <c r="R36" s="84"/>
      <c r="S36" s="86"/>
      <c r="T36" s="13"/>
    </row>
    <row r="37" spans="1:20" ht="21.75" customHeight="1">
      <c r="A37" s="20" t="s">
        <v>125</v>
      </c>
      <c r="B37" s="32" t="s">
        <v>64</v>
      </c>
      <c r="C37" s="31" t="s">
        <v>65</v>
      </c>
      <c r="D37" s="65" t="s">
        <v>126</v>
      </c>
      <c r="E37" s="24" t="s">
        <v>74</v>
      </c>
      <c r="F37" s="25" t="s">
        <v>75</v>
      </c>
      <c r="G37" s="25" t="s">
        <v>69</v>
      </c>
      <c r="H37" s="20">
        <v>10</v>
      </c>
      <c r="I37" s="29">
        <v>44400</v>
      </c>
      <c r="J37" s="26">
        <v>1</v>
      </c>
      <c r="K37" s="29">
        <f>I37*J37</f>
        <v>44400</v>
      </c>
      <c r="L37" s="29">
        <f t="shared" ref="L37:L45" si="4">K37*0.09125</f>
        <v>4051.5</v>
      </c>
      <c r="M37" s="29">
        <v>400</v>
      </c>
      <c r="N37" s="30">
        <f t="shared" ref="N37:N55" si="5">K37+L37+M37</f>
        <v>48851.5</v>
      </c>
      <c r="O37" s="16"/>
      <c r="P37" s="16"/>
      <c r="Q37" s="17" t="s">
        <v>70</v>
      </c>
      <c r="R37" s="16" t="s">
        <v>70</v>
      </c>
      <c r="S37" s="18"/>
      <c r="T37" s="13"/>
    </row>
    <row r="38" spans="1:20" ht="46.5" customHeight="1">
      <c r="A38" s="20" t="s">
        <v>125</v>
      </c>
      <c r="B38" s="32" t="s">
        <v>64</v>
      </c>
      <c r="C38" s="31" t="s">
        <v>65</v>
      </c>
      <c r="D38" s="65" t="s">
        <v>127</v>
      </c>
      <c r="E38" s="24" t="s">
        <v>74</v>
      </c>
      <c r="F38" s="25" t="s">
        <v>75</v>
      </c>
      <c r="G38" s="25" t="s">
        <v>69</v>
      </c>
      <c r="H38" s="20">
        <v>10</v>
      </c>
      <c r="I38" s="29">
        <v>73000</v>
      </c>
      <c r="J38" s="26">
        <v>1</v>
      </c>
      <c r="K38" s="29">
        <f t="shared" ref="K38:K56" si="6">I38*J38</f>
        <v>73000</v>
      </c>
      <c r="L38" s="29">
        <f t="shared" si="4"/>
        <v>6661.25</v>
      </c>
      <c r="M38" s="29">
        <v>400</v>
      </c>
      <c r="N38" s="30">
        <f t="shared" si="5"/>
        <v>80061.25</v>
      </c>
      <c r="O38" s="15"/>
      <c r="P38" s="15"/>
      <c r="Q38" s="17" t="s">
        <v>70</v>
      </c>
      <c r="R38" s="16" t="s">
        <v>70</v>
      </c>
      <c r="S38" s="15"/>
      <c r="T38" s="15"/>
    </row>
    <row r="39" spans="1:20" ht="46.5" customHeight="1">
      <c r="A39" s="20" t="s">
        <v>125</v>
      </c>
      <c r="B39" s="32" t="s">
        <v>64</v>
      </c>
      <c r="C39" s="31" t="s">
        <v>65</v>
      </c>
      <c r="D39" s="65" t="s">
        <v>128</v>
      </c>
      <c r="E39" s="24" t="s">
        <v>74</v>
      </c>
      <c r="F39" s="25" t="s">
        <v>75</v>
      </c>
      <c r="G39" s="116" t="s">
        <v>129</v>
      </c>
      <c r="H39" s="20">
        <v>7</v>
      </c>
      <c r="I39" s="29">
        <v>3750</v>
      </c>
      <c r="J39" s="26">
        <v>1</v>
      </c>
      <c r="K39" s="29">
        <f t="shared" si="6"/>
        <v>3750</v>
      </c>
      <c r="L39" s="29">
        <f t="shared" si="4"/>
        <v>342.1875</v>
      </c>
      <c r="M39" s="29">
        <v>250</v>
      </c>
      <c r="N39" s="30">
        <f t="shared" si="5"/>
        <v>4342.1875</v>
      </c>
      <c r="O39" s="15"/>
      <c r="P39" s="15"/>
      <c r="Q39" s="17" t="s">
        <v>70</v>
      </c>
      <c r="R39" s="16" t="s">
        <v>70</v>
      </c>
      <c r="S39" s="15"/>
      <c r="T39" s="15"/>
    </row>
    <row r="40" spans="1:20" ht="46.5" customHeight="1">
      <c r="A40" s="116" t="s">
        <v>125</v>
      </c>
      <c r="B40" s="116" t="s">
        <v>64</v>
      </c>
      <c r="C40" s="69" t="s">
        <v>65</v>
      </c>
      <c r="D40" s="65" t="s">
        <v>130</v>
      </c>
      <c r="E40" s="24" t="s">
        <v>74</v>
      </c>
      <c r="F40" s="24" t="s">
        <v>131</v>
      </c>
      <c r="G40" s="116" t="s">
        <v>69</v>
      </c>
      <c r="H40" s="116">
        <v>7</v>
      </c>
      <c r="I40" s="117">
        <v>6950</v>
      </c>
      <c r="J40" s="116">
        <v>1</v>
      </c>
      <c r="K40" s="29">
        <f t="shared" si="6"/>
        <v>6950</v>
      </c>
      <c r="L40" s="29">
        <f t="shared" si="4"/>
        <v>634.1875</v>
      </c>
      <c r="M40" s="118">
        <v>250</v>
      </c>
      <c r="N40" s="30">
        <f t="shared" si="5"/>
        <v>7834.1875</v>
      </c>
      <c r="O40" s="15"/>
      <c r="P40" s="15"/>
      <c r="Q40" s="17" t="s">
        <v>70</v>
      </c>
      <c r="R40" s="16" t="s">
        <v>70</v>
      </c>
      <c r="S40" s="15"/>
      <c r="T40" s="15"/>
    </row>
    <row r="41" spans="1:20" ht="46.5" customHeight="1">
      <c r="A41" s="20" t="s">
        <v>125</v>
      </c>
      <c r="B41" s="32" t="s">
        <v>64</v>
      </c>
      <c r="C41" s="31" t="s">
        <v>65</v>
      </c>
      <c r="D41" s="65" t="s">
        <v>132</v>
      </c>
      <c r="E41" s="24" t="s">
        <v>74</v>
      </c>
      <c r="F41" s="25" t="s">
        <v>75</v>
      </c>
      <c r="G41" s="116" t="s">
        <v>129</v>
      </c>
      <c r="H41" s="20">
        <v>7</v>
      </c>
      <c r="I41" s="29">
        <v>4450</v>
      </c>
      <c r="J41" s="26">
        <v>1</v>
      </c>
      <c r="K41" s="29">
        <f t="shared" si="6"/>
        <v>4450</v>
      </c>
      <c r="L41" s="29">
        <f t="shared" si="4"/>
        <v>406.0625</v>
      </c>
      <c r="M41" s="29">
        <v>300</v>
      </c>
      <c r="N41" s="30">
        <f t="shared" si="5"/>
        <v>5156.0625</v>
      </c>
      <c r="O41" s="15"/>
      <c r="P41" s="15"/>
      <c r="Q41" s="17" t="s">
        <v>70</v>
      </c>
      <c r="R41" s="16" t="s">
        <v>70</v>
      </c>
      <c r="S41" s="15"/>
      <c r="T41" s="15"/>
    </row>
    <row r="42" spans="1:20" ht="46.5" customHeight="1">
      <c r="A42" s="20" t="s">
        <v>125</v>
      </c>
      <c r="B42" s="32" t="s">
        <v>64</v>
      </c>
      <c r="C42" s="31" t="s">
        <v>65</v>
      </c>
      <c r="D42" s="65" t="s">
        <v>133</v>
      </c>
      <c r="E42" s="24" t="s">
        <v>74</v>
      </c>
      <c r="F42" s="25" t="s">
        <v>75</v>
      </c>
      <c r="G42" s="25" t="s">
        <v>84</v>
      </c>
      <c r="H42" s="20">
        <v>10</v>
      </c>
      <c r="I42" s="29">
        <v>40000</v>
      </c>
      <c r="J42" s="26">
        <v>1</v>
      </c>
      <c r="K42" s="29">
        <f t="shared" si="6"/>
        <v>40000</v>
      </c>
      <c r="L42" s="29">
        <f t="shared" si="4"/>
        <v>3650</v>
      </c>
      <c r="M42" s="29">
        <v>600</v>
      </c>
      <c r="N42" s="30">
        <f t="shared" si="5"/>
        <v>44250</v>
      </c>
      <c r="O42" s="15"/>
      <c r="P42" s="15"/>
      <c r="Q42" s="17" t="s">
        <v>70</v>
      </c>
      <c r="R42" s="16" t="s">
        <v>70</v>
      </c>
      <c r="S42" s="15"/>
      <c r="T42" s="15"/>
    </row>
    <row r="43" spans="1:20" ht="46.5" customHeight="1">
      <c r="A43" s="20" t="s">
        <v>125</v>
      </c>
      <c r="B43" s="32" t="s">
        <v>64</v>
      </c>
      <c r="C43" s="31" t="s">
        <v>65</v>
      </c>
      <c r="D43" s="65" t="s">
        <v>134</v>
      </c>
      <c r="E43" s="24" t="s">
        <v>74</v>
      </c>
      <c r="F43" s="25" t="s">
        <v>75</v>
      </c>
      <c r="G43" s="116" t="s">
        <v>129</v>
      </c>
      <c r="H43" s="20">
        <v>10</v>
      </c>
      <c r="I43" s="29">
        <v>3850</v>
      </c>
      <c r="J43" s="26">
        <v>1</v>
      </c>
      <c r="K43" s="29">
        <f t="shared" si="6"/>
        <v>3850</v>
      </c>
      <c r="L43" s="29">
        <f t="shared" si="4"/>
        <v>351.3125</v>
      </c>
      <c r="M43" s="29">
        <v>125</v>
      </c>
      <c r="N43" s="30">
        <f t="shared" si="5"/>
        <v>4326.3125</v>
      </c>
      <c r="O43" s="15"/>
      <c r="P43" s="15"/>
      <c r="Q43" s="17" t="s">
        <v>70</v>
      </c>
      <c r="R43" s="16" t="s">
        <v>70</v>
      </c>
      <c r="S43" s="15"/>
      <c r="T43" s="15"/>
    </row>
    <row r="44" spans="1:20" ht="24" customHeight="1">
      <c r="A44" s="20" t="s">
        <v>125</v>
      </c>
      <c r="B44" s="32" t="s">
        <v>64</v>
      </c>
      <c r="C44" s="31" t="s">
        <v>65</v>
      </c>
      <c r="D44" s="65" t="s">
        <v>135</v>
      </c>
      <c r="E44" s="24" t="s">
        <v>74</v>
      </c>
      <c r="F44" s="25" t="s">
        <v>75</v>
      </c>
      <c r="G44" s="25" t="s">
        <v>69</v>
      </c>
      <c r="H44" s="20">
        <v>10</v>
      </c>
      <c r="I44" s="29">
        <v>7150</v>
      </c>
      <c r="J44" s="26">
        <v>1</v>
      </c>
      <c r="K44" s="29">
        <f t="shared" si="6"/>
        <v>7150</v>
      </c>
      <c r="L44" s="29">
        <f t="shared" si="4"/>
        <v>652.4375</v>
      </c>
      <c r="M44" s="29">
        <v>200</v>
      </c>
      <c r="N44" s="30">
        <f t="shared" si="5"/>
        <v>8002.4375</v>
      </c>
      <c r="O44" s="15"/>
      <c r="P44" s="15"/>
      <c r="Q44" s="17" t="s">
        <v>70</v>
      </c>
      <c r="R44" s="16" t="s">
        <v>70</v>
      </c>
      <c r="S44" s="15"/>
      <c r="T44" s="15"/>
    </row>
    <row r="45" spans="1:20" ht="24" customHeight="1">
      <c r="A45" s="20" t="s">
        <v>125</v>
      </c>
      <c r="B45" s="32" t="s">
        <v>64</v>
      </c>
      <c r="C45" s="31" t="s">
        <v>65</v>
      </c>
      <c r="D45" s="65" t="s">
        <v>136</v>
      </c>
      <c r="E45" s="24" t="s">
        <v>74</v>
      </c>
      <c r="F45" s="25" t="s">
        <v>75</v>
      </c>
      <c r="G45" s="25" t="s">
        <v>69</v>
      </c>
      <c r="H45" s="20">
        <v>15</v>
      </c>
      <c r="I45" s="29">
        <v>215000</v>
      </c>
      <c r="J45" s="26">
        <v>1</v>
      </c>
      <c r="K45" s="29">
        <f t="shared" si="6"/>
        <v>215000</v>
      </c>
      <c r="L45" s="29">
        <f t="shared" si="4"/>
        <v>19618.75</v>
      </c>
      <c r="M45" s="29">
        <v>2500</v>
      </c>
      <c r="N45" s="30">
        <f t="shared" si="5"/>
        <v>237118.75</v>
      </c>
      <c r="O45" s="16"/>
      <c r="P45" s="16"/>
      <c r="Q45" s="17" t="s">
        <v>70</v>
      </c>
      <c r="R45" s="16" t="s">
        <v>70</v>
      </c>
      <c r="S45" s="18"/>
      <c r="T45" s="13"/>
    </row>
    <row r="46" spans="1:20" ht="24" customHeight="1">
      <c r="A46" s="20" t="s">
        <v>125</v>
      </c>
      <c r="B46" s="32" t="s">
        <v>64</v>
      </c>
      <c r="C46" s="31" t="s">
        <v>94</v>
      </c>
      <c r="D46" s="65" t="s">
        <v>137</v>
      </c>
      <c r="E46" s="15" t="s">
        <v>138</v>
      </c>
      <c r="F46" s="25" t="s">
        <v>75</v>
      </c>
      <c r="G46" s="25" t="s">
        <v>76</v>
      </c>
      <c r="H46" s="20">
        <v>1</v>
      </c>
      <c r="I46" s="28">
        <v>7125</v>
      </c>
      <c r="J46" s="26">
        <v>1</v>
      </c>
      <c r="K46" s="28">
        <f t="shared" si="6"/>
        <v>7125</v>
      </c>
      <c r="L46" s="29"/>
      <c r="M46" s="29"/>
      <c r="N46" s="30">
        <f t="shared" si="5"/>
        <v>7125</v>
      </c>
      <c r="O46" s="17"/>
      <c r="P46" s="16"/>
      <c r="Q46" s="16"/>
      <c r="R46" s="16"/>
      <c r="S46" s="18"/>
      <c r="T46" s="13"/>
    </row>
    <row r="47" spans="1:20" ht="24" customHeight="1">
      <c r="A47" s="20" t="s">
        <v>125</v>
      </c>
      <c r="B47" s="32" t="s">
        <v>64</v>
      </c>
      <c r="C47" s="31" t="s">
        <v>72</v>
      </c>
      <c r="D47" s="13" t="s">
        <v>139</v>
      </c>
      <c r="E47" s="23" t="s">
        <v>138</v>
      </c>
      <c r="F47" s="25" t="s">
        <v>75</v>
      </c>
      <c r="G47" s="25" t="s">
        <v>140</v>
      </c>
      <c r="H47" s="20">
        <v>1</v>
      </c>
      <c r="I47" s="29">
        <v>2475</v>
      </c>
      <c r="J47" s="26">
        <v>1</v>
      </c>
      <c r="K47" s="28">
        <f t="shared" si="6"/>
        <v>2475</v>
      </c>
      <c r="L47" s="29"/>
      <c r="M47" s="29"/>
      <c r="N47" s="30">
        <f t="shared" si="5"/>
        <v>2475</v>
      </c>
      <c r="O47" s="17"/>
      <c r="P47" s="16"/>
      <c r="Q47" s="16"/>
      <c r="R47" s="16"/>
      <c r="S47" s="18"/>
      <c r="T47" s="13"/>
    </row>
    <row r="48" spans="1:20" ht="24" customHeight="1">
      <c r="A48" s="20" t="s">
        <v>125</v>
      </c>
      <c r="B48" s="32" t="s">
        <v>64</v>
      </c>
      <c r="C48" s="31" t="s">
        <v>72</v>
      </c>
      <c r="D48" s="13" t="s">
        <v>141</v>
      </c>
      <c r="E48" s="23" t="s">
        <v>138</v>
      </c>
      <c r="F48" s="25" t="s">
        <v>75</v>
      </c>
      <c r="G48" s="25" t="s">
        <v>140</v>
      </c>
      <c r="H48" s="20">
        <v>1</v>
      </c>
      <c r="I48" s="29">
        <v>5500</v>
      </c>
      <c r="J48" s="26">
        <v>1</v>
      </c>
      <c r="K48" s="28">
        <f t="shared" si="6"/>
        <v>5500</v>
      </c>
      <c r="L48" s="29"/>
      <c r="M48" s="29"/>
      <c r="N48" s="30">
        <f t="shared" si="5"/>
        <v>5500</v>
      </c>
      <c r="O48" s="17"/>
      <c r="P48" s="16"/>
      <c r="Q48" s="16"/>
      <c r="R48" s="16"/>
      <c r="S48" s="18"/>
      <c r="T48" s="13"/>
    </row>
    <row r="49" spans="1:20" ht="24" customHeight="1">
      <c r="A49" s="20" t="s">
        <v>125</v>
      </c>
      <c r="B49" s="32" t="s">
        <v>64</v>
      </c>
      <c r="C49" s="31" t="s">
        <v>72</v>
      </c>
      <c r="D49" s="13" t="s">
        <v>142</v>
      </c>
      <c r="E49" s="23" t="s">
        <v>138</v>
      </c>
      <c r="F49" s="25" t="s">
        <v>75</v>
      </c>
      <c r="G49" s="25" t="s">
        <v>140</v>
      </c>
      <c r="H49" s="20">
        <v>1</v>
      </c>
      <c r="I49" s="28">
        <v>1050</v>
      </c>
      <c r="J49" s="26">
        <v>1</v>
      </c>
      <c r="K49" s="28">
        <f t="shared" si="6"/>
        <v>1050</v>
      </c>
      <c r="L49" s="28">
        <v>0</v>
      </c>
      <c r="M49" s="28"/>
      <c r="N49" s="30">
        <f t="shared" si="5"/>
        <v>1050</v>
      </c>
      <c r="O49" s="17"/>
      <c r="P49" s="16"/>
      <c r="Q49" s="16"/>
      <c r="R49" s="16"/>
      <c r="S49" s="18"/>
      <c r="T49" s="13"/>
    </row>
    <row r="50" spans="1:20" ht="24" customHeight="1">
      <c r="A50" s="20" t="s">
        <v>125</v>
      </c>
      <c r="B50" s="32" t="s">
        <v>64</v>
      </c>
      <c r="C50" s="31" t="s">
        <v>72</v>
      </c>
      <c r="D50" s="13" t="s">
        <v>143</v>
      </c>
      <c r="E50" s="23" t="s">
        <v>138</v>
      </c>
      <c r="F50" s="25" t="s">
        <v>75</v>
      </c>
      <c r="G50" s="25" t="s">
        <v>140</v>
      </c>
      <c r="H50" s="20">
        <v>1</v>
      </c>
      <c r="I50" s="29">
        <v>3150</v>
      </c>
      <c r="J50" s="26">
        <v>1</v>
      </c>
      <c r="K50" s="28">
        <f t="shared" si="6"/>
        <v>3150</v>
      </c>
      <c r="L50" s="29">
        <v>0</v>
      </c>
      <c r="M50" s="29"/>
      <c r="N50" s="30">
        <f t="shared" si="5"/>
        <v>3150</v>
      </c>
      <c r="O50" s="17"/>
      <c r="P50" s="16"/>
      <c r="Q50" s="16"/>
      <c r="R50" s="16"/>
      <c r="S50" s="18"/>
      <c r="T50" s="13"/>
    </row>
    <row r="51" spans="1:20" ht="24" customHeight="1">
      <c r="A51" s="20" t="s">
        <v>125</v>
      </c>
      <c r="B51" s="32" t="s">
        <v>64</v>
      </c>
      <c r="C51" s="31" t="s">
        <v>72</v>
      </c>
      <c r="D51" s="13" t="s">
        <v>144</v>
      </c>
      <c r="E51" s="23" t="s">
        <v>138</v>
      </c>
      <c r="F51" s="25" t="s">
        <v>75</v>
      </c>
      <c r="G51" s="25" t="s">
        <v>140</v>
      </c>
      <c r="H51" s="20">
        <v>1</v>
      </c>
      <c r="I51" s="28">
        <v>3750</v>
      </c>
      <c r="J51" s="26">
        <v>1</v>
      </c>
      <c r="K51" s="28">
        <f t="shared" si="6"/>
        <v>3750</v>
      </c>
      <c r="L51" s="28">
        <v>0</v>
      </c>
      <c r="M51" s="28"/>
      <c r="N51" s="30">
        <f t="shared" si="5"/>
        <v>3750</v>
      </c>
      <c r="O51" s="17"/>
      <c r="P51" s="16"/>
      <c r="Q51" s="16"/>
      <c r="R51" s="16"/>
      <c r="S51" s="18"/>
      <c r="T51" s="13"/>
    </row>
    <row r="52" spans="1:20" ht="24" customHeight="1">
      <c r="A52" s="20" t="s">
        <v>125</v>
      </c>
      <c r="B52" s="32" t="s">
        <v>64</v>
      </c>
      <c r="C52" s="31" t="s">
        <v>72</v>
      </c>
      <c r="D52" s="13" t="s">
        <v>145</v>
      </c>
      <c r="E52" s="23" t="s">
        <v>146</v>
      </c>
      <c r="F52" s="25" t="s">
        <v>75</v>
      </c>
      <c r="G52" s="25" t="s">
        <v>76</v>
      </c>
      <c r="H52" s="20">
        <v>5</v>
      </c>
      <c r="I52" s="28">
        <v>7</v>
      </c>
      <c r="J52" s="26">
        <v>100</v>
      </c>
      <c r="K52" s="28">
        <f t="shared" si="6"/>
        <v>700</v>
      </c>
      <c r="L52" s="28">
        <v>0</v>
      </c>
      <c r="M52" s="28">
        <v>0</v>
      </c>
      <c r="N52" s="30">
        <f t="shared" si="5"/>
        <v>700</v>
      </c>
      <c r="O52" s="17"/>
      <c r="P52" s="16"/>
      <c r="Q52" s="16"/>
      <c r="R52" s="16"/>
      <c r="S52" s="18"/>
      <c r="T52" s="13" t="s">
        <v>71</v>
      </c>
    </row>
    <row r="53" spans="1:20" ht="24" customHeight="1">
      <c r="A53" s="20" t="s">
        <v>125</v>
      </c>
      <c r="B53" s="119" t="s">
        <v>64</v>
      </c>
      <c r="C53" s="120" t="s">
        <v>147</v>
      </c>
      <c r="D53" s="45" t="s">
        <v>148</v>
      </c>
      <c r="E53" s="46" t="s">
        <v>149</v>
      </c>
      <c r="F53" s="121" t="s">
        <v>75</v>
      </c>
      <c r="G53" s="121" t="s">
        <v>140</v>
      </c>
      <c r="H53" s="119" t="s">
        <v>150</v>
      </c>
      <c r="I53" s="122">
        <f>75000*1.35</f>
        <v>101250</v>
      </c>
      <c r="J53" s="121">
        <v>3</v>
      </c>
      <c r="K53" s="122">
        <f t="shared" si="6"/>
        <v>303750</v>
      </c>
      <c r="L53" s="28">
        <v>0</v>
      </c>
      <c r="M53" s="28"/>
      <c r="N53" s="30">
        <f t="shared" si="5"/>
        <v>303750</v>
      </c>
      <c r="O53" s="17"/>
      <c r="P53" s="16"/>
      <c r="Q53" s="16"/>
      <c r="R53" s="16"/>
      <c r="S53" s="18"/>
      <c r="T53" s="13"/>
    </row>
    <row r="54" spans="1:20" ht="24" customHeight="1">
      <c r="A54" s="20" t="s">
        <v>125</v>
      </c>
      <c r="B54" s="32" t="s">
        <v>64</v>
      </c>
      <c r="C54" s="31" t="s">
        <v>147</v>
      </c>
      <c r="D54" s="13" t="s">
        <v>151</v>
      </c>
      <c r="E54" s="23" t="s">
        <v>149</v>
      </c>
      <c r="F54" s="25" t="s">
        <v>75</v>
      </c>
      <c r="G54" s="25" t="s">
        <v>69</v>
      </c>
      <c r="H54" s="20">
        <v>1</v>
      </c>
      <c r="I54" s="29">
        <v>10000</v>
      </c>
      <c r="J54" s="26">
        <v>1</v>
      </c>
      <c r="K54" s="29">
        <f t="shared" si="6"/>
        <v>10000</v>
      </c>
      <c r="L54" s="29"/>
      <c r="M54" s="29"/>
      <c r="N54" s="30">
        <f t="shared" si="5"/>
        <v>10000</v>
      </c>
      <c r="O54" s="16"/>
      <c r="P54" s="16"/>
      <c r="Q54" s="17" t="s">
        <v>70</v>
      </c>
      <c r="R54" s="16" t="s">
        <v>70</v>
      </c>
      <c r="S54" s="18"/>
      <c r="T54" s="13"/>
    </row>
    <row r="55" spans="1:20" ht="24" customHeight="1">
      <c r="A55" s="20" t="s">
        <v>125</v>
      </c>
      <c r="B55" s="32" t="s">
        <v>64</v>
      </c>
      <c r="C55" s="31" t="s">
        <v>147</v>
      </c>
      <c r="D55" s="13" t="s">
        <v>152</v>
      </c>
      <c r="E55" s="23" t="s">
        <v>153</v>
      </c>
      <c r="F55" s="25" t="s">
        <v>75</v>
      </c>
      <c r="G55" s="26" t="s">
        <v>69</v>
      </c>
      <c r="H55" s="20">
        <v>1</v>
      </c>
      <c r="I55" s="27">
        <v>5000</v>
      </c>
      <c r="J55" s="26">
        <v>1</v>
      </c>
      <c r="K55" s="29">
        <f t="shared" si="6"/>
        <v>5000</v>
      </c>
      <c r="L55" s="29"/>
      <c r="M55" s="29"/>
      <c r="N55" s="30">
        <f t="shared" si="5"/>
        <v>5000</v>
      </c>
      <c r="O55" s="16"/>
      <c r="P55" s="16"/>
      <c r="Q55" s="17" t="s">
        <v>70</v>
      </c>
      <c r="R55" s="16" t="s">
        <v>70</v>
      </c>
      <c r="S55" s="18"/>
      <c r="T55" s="13"/>
    </row>
    <row r="56" spans="1:20" ht="24" customHeight="1">
      <c r="A56" s="20" t="s">
        <v>125</v>
      </c>
      <c r="B56" s="32" t="s">
        <v>64</v>
      </c>
      <c r="C56" s="31" t="s">
        <v>147</v>
      </c>
      <c r="D56" s="13" t="s">
        <v>154</v>
      </c>
      <c r="E56" s="23" t="s">
        <v>155</v>
      </c>
      <c r="F56" s="25" t="s">
        <v>75</v>
      </c>
      <c r="G56" s="26" t="s">
        <v>69</v>
      </c>
      <c r="H56" s="20">
        <v>1</v>
      </c>
      <c r="I56" s="27">
        <v>5900</v>
      </c>
      <c r="J56" s="26">
        <v>1</v>
      </c>
      <c r="K56" s="29">
        <f t="shared" si="6"/>
        <v>5900</v>
      </c>
      <c r="L56" s="29"/>
      <c r="M56" s="29"/>
      <c r="N56" s="30">
        <f>K56+L56+M56</f>
        <v>5900</v>
      </c>
      <c r="O56" s="16"/>
      <c r="P56" s="16"/>
      <c r="Q56" s="17" t="s">
        <v>70</v>
      </c>
      <c r="R56" s="16" t="s">
        <v>70</v>
      </c>
      <c r="S56" s="18"/>
      <c r="T56" s="13"/>
    </row>
    <row r="57" spans="1:20" ht="24" customHeight="1">
      <c r="A57" s="73"/>
      <c r="B57" s="74"/>
      <c r="C57" s="75"/>
      <c r="D57" s="76"/>
      <c r="E57" s="77"/>
      <c r="F57" s="78"/>
      <c r="G57" s="79"/>
      <c r="H57" s="80"/>
      <c r="I57" s="81"/>
      <c r="J57" s="79"/>
      <c r="K57" s="82"/>
      <c r="L57" s="82"/>
      <c r="M57" s="82"/>
      <c r="N57" s="83"/>
      <c r="O57" s="84"/>
      <c r="P57" s="84"/>
      <c r="Q57" s="85"/>
      <c r="R57" s="84"/>
      <c r="S57" s="86"/>
      <c r="T57" s="13"/>
    </row>
    <row r="58" spans="1:20" s="112" customFormat="1" ht="31.7" customHeight="1">
      <c r="A58" s="109"/>
      <c r="B58" s="110"/>
      <c r="C58" s="111"/>
      <c r="F58" s="113"/>
      <c r="G58" s="113"/>
      <c r="H58" s="113"/>
      <c r="O58" s="109"/>
      <c r="P58" s="109"/>
      <c r="Q58" s="109"/>
      <c r="R58" s="109"/>
      <c r="S58" s="114"/>
      <c r="T58" s="115"/>
    </row>
    <row r="59" spans="1:20" ht="31.7" customHeight="1">
      <c r="A59" s="20" t="s">
        <v>156</v>
      </c>
      <c r="B59" s="35" t="s">
        <v>157</v>
      </c>
      <c r="C59" s="31" t="s">
        <v>65</v>
      </c>
      <c r="D59" s="13" t="s">
        <v>158</v>
      </c>
      <c r="E59" s="24" t="s">
        <v>159</v>
      </c>
      <c r="F59" s="26" t="s">
        <v>160</v>
      </c>
      <c r="G59" s="26" t="s">
        <v>160</v>
      </c>
      <c r="H59" s="26" t="s">
        <v>160</v>
      </c>
      <c r="I59" s="29">
        <v>3628</v>
      </c>
      <c r="J59" s="26">
        <v>4</v>
      </c>
      <c r="K59" s="33">
        <f>I59*J59</f>
        <v>14512</v>
      </c>
      <c r="L59" s="33">
        <f>K59*0.09125</f>
        <v>1324.22</v>
      </c>
      <c r="M59" s="33">
        <v>0</v>
      </c>
      <c r="N59" s="30">
        <f t="shared" ref="N59:N64" si="7">K59+L59+M59</f>
        <v>15836.22</v>
      </c>
      <c r="O59" s="36"/>
      <c r="P59" s="36"/>
      <c r="Q59" s="17" t="s">
        <v>70</v>
      </c>
      <c r="R59" s="16" t="s">
        <v>70</v>
      </c>
      <c r="S59" s="18"/>
      <c r="T59" s="13"/>
    </row>
    <row r="60" spans="1:20" ht="31.7" customHeight="1">
      <c r="A60" s="20" t="s">
        <v>156</v>
      </c>
      <c r="B60" s="35" t="s">
        <v>157</v>
      </c>
      <c r="C60" s="31" t="s">
        <v>65</v>
      </c>
      <c r="D60" s="13" t="s">
        <v>161</v>
      </c>
      <c r="E60" s="24" t="s">
        <v>162</v>
      </c>
      <c r="F60" s="26" t="s">
        <v>75</v>
      </c>
      <c r="G60" s="26" t="s">
        <v>163</v>
      </c>
      <c r="H60" s="26" t="s">
        <v>164</v>
      </c>
      <c r="I60" s="29">
        <v>1049</v>
      </c>
      <c r="J60" s="26">
        <v>5</v>
      </c>
      <c r="K60" s="33">
        <f>I60*J60</f>
        <v>5245</v>
      </c>
      <c r="L60" s="33">
        <f t="shared" ref="L60:L64" si="8">K60*0.09125</f>
        <v>478.60624999999999</v>
      </c>
      <c r="M60" s="33">
        <v>0</v>
      </c>
      <c r="N60" s="30">
        <f>K60+L60+M60</f>
        <v>5723.6062499999998</v>
      </c>
      <c r="O60" s="36"/>
      <c r="P60" s="36"/>
      <c r="Q60" s="17" t="s">
        <v>70</v>
      </c>
      <c r="R60" s="16" t="s">
        <v>70</v>
      </c>
      <c r="S60" s="18"/>
      <c r="T60" s="13"/>
    </row>
    <row r="61" spans="1:20" ht="31.7" customHeight="1">
      <c r="A61" s="20" t="s">
        <v>156</v>
      </c>
      <c r="B61" s="35" t="s">
        <v>157</v>
      </c>
      <c r="C61" s="31" t="s">
        <v>65</v>
      </c>
      <c r="D61" s="13" t="s">
        <v>165</v>
      </c>
      <c r="E61" s="24" t="s">
        <v>162</v>
      </c>
      <c r="F61" s="26" t="s">
        <v>75</v>
      </c>
      <c r="G61" s="26" t="s">
        <v>163</v>
      </c>
      <c r="H61" s="26" t="s">
        <v>164</v>
      </c>
      <c r="I61" s="29">
        <v>2748</v>
      </c>
      <c r="J61" s="26">
        <v>1</v>
      </c>
      <c r="K61" s="33">
        <f>I61*J61</f>
        <v>2748</v>
      </c>
      <c r="L61" s="33">
        <f t="shared" si="8"/>
        <v>250.755</v>
      </c>
      <c r="M61" s="33">
        <v>0</v>
      </c>
      <c r="N61" s="30">
        <f>K61+L61+M61</f>
        <v>2998.7550000000001</v>
      </c>
      <c r="O61" s="36"/>
      <c r="P61" s="36"/>
      <c r="Q61" s="17" t="s">
        <v>70</v>
      </c>
      <c r="R61" s="16" t="s">
        <v>70</v>
      </c>
      <c r="S61" s="18"/>
      <c r="T61" s="13"/>
    </row>
    <row r="62" spans="1:20" ht="69.599999999999994" customHeight="1">
      <c r="A62" s="20" t="s">
        <v>156</v>
      </c>
      <c r="B62" s="37" t="s">
        <v>118</v>
      </c>
      <c r="C62" s="31" t="s">
        <v>65</v>
      </c>
      <c r="D62" s="13" t="s">
        <v>166</v>
      </c>
      <c r="E62" s="24" t="s">
        <v>167</v>
      </c>
      <c r="F62" s="26" t="s">
        <v>160</v>
      </c>
      <c r="G62" s="26" t="s">
        <v>160</v>
      </c>
      <c r="H62" s="26" t="s">
        <v>160</v>
      </c>
      <c r="I62" s="29">
        <v>3999</v>
      </c>
      <c r="J62" s="26">
        <v>8</v>
      </c>
      <c r="K62" s="33">
        <f t="shared" ref="K62:K64" si="9">I62*J62</f>
        <v>31992</v>
      </c>
      <c r="L62" s="33">
        <f t="shared" si="8"/>
        <v>2919.27</v>
      </c>
      <c r="M62" s="33">
        <v>0</v>
      </c>
      <c r="N62" s="30">
        <f t="shared" si="7"/>
        <v>34911.269999999997</v>
      </c>
      <c r="O62" s="16"/>
      <c r="P62" s="16"/>
      <c r="Q62" s="16"/>
      <c r="R62" s="16"/>
      <c r="S62" s="18"/>
      <c r="T62" s="13"/>
    </row>
    <row r="63" spans="1:20" ht="31.7" customHeight="1">
      <c r="A63" s="20" t="s">
        <v>156</v>
      </c>
      <c r="B63" s="21" t="s">
        <v>87</v>
      </c>
      <c r="C63" s="31" t="s">
        <v>65</v>
      </c>
      <c r="D63" s="13" t="s">
        <v>168</v>
      </c>
      <c r="E63" s="24" t="s">
        <v>169</v>
      </c>
      <c r="F63" s="26" t="s">
        <v>75</v>
      </c>
      <c r="G63" s="26" t="s">
        <v>69</v>
      </c>
      <c r="H63" s="26">
        <v>10</v>
      </c>
      <c r="I63" s="29">
        <v>100</v>
      </c>
      <c r="J63" s="20">
        <v>5</v>
      </c>
      <c r="K63" s="33">
        <f t="shared" si="9"/>
        <v>500</v>
      </c>
      <c r="L63" s="33">
        <f t="shared" si="8"/>
        <v>45.625</v>
      </c>
      <c r="M63" s="29">
        <v>20</v>
      </c>
      <c r="N63" s="30">
        <f t="shared" si="7"/>
        <v>565.625</v>
      </c>
      <c r="O63" s="16"/>
      <c r="P63" s="16"/>
      <c r="Q63" s="16"/>
      <c r="R63" s="16"/>
      <c r="S63" s="19"/>
      <c r="T63" s="13"/>
    </row>
    <row r="64" spans="1:20" ht="60" customHeight="1">
      <c r="A64" s="20" t="s">
        <v>156</v>
      </c>
      <c r="B64" s="35" t="s">
        <v>170</v>
      </c>
      <c r="C64" s="31" t="s">
        <v>65</v>
      </c>
      <c r="D64" s="13" t="s">
        <v>171</v>
      </c>
      <c r="E64" s="24" t="s">
        <v>172</v>
      </c>
      <c r="F64" s="26" t="s">
        <v>75</v>
      </c>
      <c r="G64" s="26" t="s">
        <v>69</v>
      </c>
      <c r="H64" s="20">
        <v>5</v>
      </c>
      <c r="I64" s="29">
        <v>100</v>
      </c>
      <c r="J64" s="26">
        <v>3</v>
      </c>
      <c r="K64" s="33">
        <f t="shared" si="9"/>
        <v>300</v>
      </c>
      <c r="L64" s="33">
        <f t="shared" si="8"/>
        <v>27.375</v>
      </c>
      <c r="M64" s="38">
        <v>0</v>
      </c>
      <c r="N64" s="30">
        <f t="shared" si="7"/>
        <v>327.375</v>
      </c>
      <c r="O64" s="34"/>
      <c r="P64" s="36"/>
      <c r="Q64" s="17" t="s">
        <v>70</v>
      </c>
      <c r="R64" s="16" t="s">
        <v>70</v>
      </c>
      <c r="S64" s="18"/>
      <c r="T64" s="13"/>
    </row>
    <row r="65" spans="1:20" ht="31.7" customHeight="1">
      <c r="A65" s="20" t="s">
        <v>156</v>
      </c>
      <c r="B65" s="35" t="s">
        <v>170</v>
      </c>
      <c r="C65" s="31" t="s">
        <v>72</v>
      </c>
      <c r="D65" s="13" t="s">
        <v>173</v>
      </c>
      <c r="E65" s="24" t="s">
        <v>174</v>
      </c>
      <c r="F65" s="26" t="s">
        <v>75</v>
      </c>
      <c r="G65" s="26" t="s">
        <v>76</v>
      </c>
      <c r="H65" s="26" t="s">
        <v>175</v>
      </c>
      <c r="I65" s="29">
        <v>26000</v>
      </c>
      <c r="J65" s="20">
        <v>1</v>
      </c>
      <c r="K65" s="29">
        <v>26000</v>
      </c>
      <c r="L65" s="29" t="s">
        <v>160</v>
      </c>
      <c r="M65" s="29" t="s">
        <v>160</v>
      </c>
      <c r="N65" s="123">
        <v>26000</v>
      </c>
      <c r="O65" s="34"/>
      <c r="P65" s="36"/>
      <c r="Q65" s="36"/>
      <c r="R65" s="36"/>
      <c r="S65" s="18"/>
      <c r="T65" s="13"/>
    </row>
    <row r="66" spans="1:20" ht="31.7" customHeight="1">
      <c r="A66" s="20" t="s">
        <v>156</v>
      </c>
      <c r="B66" s="35" t="s">
        <v>170</v>
      </c>
      <c r="C66" s="31" t="s">
        <v>72</v>
      </c>
      <c r="D66" s="13" t="s">
        <v>176</v>
      </c>
      <c r="E66" s="24" t="s">
        <v>177</v>
      </c>
      <c r="F66" s="26" t="s">
        <v>75</v>
      </c>
      <c r="G66" s="26" t="s">
        <v>69</v>
      </c>
      <c r="H66" s="26">
        <v>1</v>
      </c>
      <c r="I66" s="28">
        <v>19.989999999999998</v>
      </c>
      <c r="J66" s="20">
        <v>2100</v>
      </c>
      <c r="K66" s="28">
        <v>41979</v>
      </c>
      <c r="L66" s="28" t="s">
        <v>178</v>
      </c>
      <c r="M66" s="28" t="s">
        <v>179</v>
      </c>
      <c r="N66" s="124">
        <v>50000</v>
      </c>
      <c r="O66" s="34"/>
      <c r="P66" s="36"/>
      <c r="Q66" s="36"/>
      <c r="R66" s="36"/>
      <c r="S66" s="18"/>
      <c r="T66" s="13"/>
    </row>
    <row r="67" spans="1:20" ht="31.7" customHeight="1">
      <c r="A67" s="20" t="s">
        <v>156</v>
      </c>
      <c r="B67" s="35" t="s">
        <v>170</v>
      </c>
      <c r="C67" s="31" t="s">
        <v>72</v>
      </c>
      <c r="D67" s="13" t="s">
        <v>180</v>
      </c>
      <c r="E67" s="24" t="s">
        <v>181</v>
      </c>
      <c r="F67" s="26" t="s">
        <v>75</v>
      </c>
      <c r="G67" s="26" t="s">
        <v>69</v>
      </c>
      <c r="H67" s="26">
        <v>1</v>
      </c>
      <c r="I67" s="29">
        <v>20</v>
      </c>
      <c r="J67" s="26">
        <v>20</v>
      </c>
      <c r="K67" s="33">
        <f t="shared" ref="K67:K73" si="10">I67*J67</f>
        <v>400</v>
      </c>
      <c r="L67" s="33">
        <v>0</v>
      </c>
      <c r="M67" s="33">
        <v>0</v>
      </c>
      <c r="N67" s="30">
        <f>K67+L67+M67</f>
        <v>400</v>
      </c>
      <c r="O67" s="34"/>
      <c r="P67" s="16"/>
      <c r="Q67" s="16"/>
      <c r="R67" s="16"/>
      <c r="S67" s="19"/>
      <c r="T67" s="13"/>
    </row>
    <row r="68" spans="1:20" ht="31.7" customHeight="1">
      <c r="A68" s="20" t="s">
        <v>156</v>
      </c>
      <c r="B68" s="35" t="s">
        <v>170</v>
      </c>
      <c r="C68" s="31" t="s">
        <v>94</v>
      </c>
      <c r="D68" s="13" t="s">
        <v>182</v>
      </c>
      <c r="E68" s="24" t="s">
        <v>146</v>
      </c>
      <c r="F68" s="26" t="s">
        <v>75</v>
      </c>
      <c r="G68" s="26" t="s">
        <v>76</v>
      </c>
      <c r="H68" s="26">
        <v>5</v>
      </c>
      <c r="I68" s="29">
        <v>15</v>
      </c>
      <c r="J68" s="26">
        <v>200</v>
      </c>
      <c r="K68" s="33">
        <f t="shared" si="10"/>
        <v>3000</v>
      </c>
      <c r="L68" s="33">
        <v>0</v>
      </c>
      <c r="M68" s="33">
        <v>0</v>
      </c>
      <c r="N68" s="30">
        <f>K68+L68+M68</f>
        <v>3000</v>
      </c>
      <c r="O68" s="34"/>
      <c r="P68" s="16"/>
      <c r="Q68" s="16"/>
      <c r="R68" s="16"/>
      <c r="S68" s="18"/>
      <c r="T68" s="13"/>
    </row>
    <row r="69" spans="1:20" ht="31.7" customHeight="1">
      <c r="A69" s="20" t="s">
        <v>156</v>
      </c>
      <c r="B69" s="35" t="s">
        <v>170</v>
      </c>
      <c r="C69" s="31" t="s">
        <v>94</v>
      </c>
      <c r="D69" s="13" t="s">
        <v>183</v>
      </c>
      <c r="E69" s="24" t="s">
        <v>184</v>
      </c>
      <c r="F69" s="26" t="s">
        <v>75</v>
      </c>
      <c r="G69" s="26" t="s">
        <v>69</v>
      </c>
      <c r="H69" s="26">
        <v>5</v>
      </c>
      <c r="I69" s="29">
        <v>169</v>
      </c>
      <c r="J69" s="26">
        <v>10</v>
      </c>
      <c r="K69" s="33">
        <f t="shared" si="10"/>
        <v>1690</v>
      </c>
      <c r="L69" s="33">
        <v>0</v>
      </c>
      <c r="M69" s="33">
        <v>0</v>
      </c>
      <c r="N69" s="30">
        <f>K69+L69+M69</f>
        <v>1690</v>
      </c>
      <c r="O69" s="34"/>
      <c r="P69" s="16"/>
      <c r="Q69" s="36"/>
      <c r="R69" s="36"/>
      <c r="S69" s="18"/>
      <c r="T69" s="13"/>
    </row>
    <row r="70" spans="1:20" ht="51.75" customHeight="1">
      <c r="A70" s="20" t="s">
        <v>156</v>
      </c>
      <c r="B70" s="13" t="s">
        <v>170</v>
      </c>
      <c r="C70" s="31" t="s">
        <v>185</v>
      </c>
      <c r="D70" s="13" t="s">
        <v>186</v>
      </c>
      <c r="E70" s="24" t="s">
        <v>187</v>
      </c>
      <c r="F70" s="26" t="s">
        <v>75</v>
      </c>
      <c r="G70" s="26" t="s">
        <v>160</v>
      </c>
      <c r="H70" s="26" t="s">
        <v>160</v>
      </c>
      <c r="I70" s="29">
        <v>600</v>
      </c>
      <c r="J70" s="26">
        <v>1</v>
      </c>
      <c r="K70" s="33">
        <f t="shared" si="10"/>
        <v>600</v>
      </c>
      <c r="L70" s="33">
        <v>0</v>
      </c>
      <c r="M70" s="33">
        <v>0</v>
      </c>
      <c r="N70" s="30">
        <f>K70+L70+M70</f>
        <v>600</v>
      </c>
      <c r="O70" s="36"/>
      <c r="P70" s="16"/>
      <c r="Q70" s="34"/>
      <c r="R70" s="36"/>
      <c r="S70" s="18"/>
      <c r="T70" s="37"/>
    </row>
    <row r="71" spans="1:20" s="44" customFormat="1" ht="51" customHeight="1">
      <c r="A71" s="20" t="s">
        <v>156</v>
      </c>
      <c r="B71" s="13" t="s">
        <v>170</v>
      </c>
      <c r="C71" s="22" t="s">
        <v>147</v>
      </c>
      <c r="D71" s="24" t="s">
        <v>188</v>
      </c>
      <c r="E71" s="24" t="s">
        <v>189</v>
      </c>
      <c r="F71" s="26" t="s">
        <v>75</v>
      </c>
      <c r="G71" s="26" t="s">
        <v>76</v>
      </c>
      <c r="H71" s="26" t="s">
        <v>160</v>
      </c>
      <c r="I71" s="28">
        <v>2400</v>
      </c>
      <c r="J71" s="20">
        <v>9</v>
      </c>
      <c r="K71" s="28">
        <f t="shared" si="10"/>
        <v>21600</v>
      </c>
      <c r="L71" s="28" t="s">
        <v>160</v>
      </c>
      <c r="M71" s="28" t="s">
        <v>160</v>
      </c>
      <c r="N71" s="38">
        <v>21600</v>
      </c>
      <c r="O71" s="36"/>
      <c r="P71" s="16"/>
      <c r="Q71" s="34"/>
      <c r="R71" s="36"/>
      <c r="S71" s="18"/>
      <c r="T71" s="37"/>
    </row>
    <row r="72" spans="1:20" ht="31.7" customHeight="1">
      <c r="A72" s="20" t="s">
        <v>156</v>
      </c>
      <c r="B72" s="13" t="s">
        <v>170</v>
      </c>
      <c r="C72" s="22" t="s">
        <v>147</v>
      </c>
      <c r="D72" s="13" t="s">
        <v>190</v>
      </c>
      <c r="E72" s="24" t="s">
        <v>191</v>
      </c>
      <c r="F72" s="26" t="s">
        <v>160</v>
      </c>
      <c r="G72" s="26" t="s">
        <v>160</v>
      </c>
      <c r="H72" s="26" t="s">
        <v>160</v>
      </c>
      <c r="I72" s="28">
        <v>2500</v>
      </c>
      <c r="J72" s="20">
        <v>3</v>
      </c>
      <c r="K72" s="39">
        <f t="shared" si="10"/>
        <v>7500</v>
      </c>
      <c r="L72" s="39">
        <v>0</v>
      </c>
      <c r="M72" s="39">
        <v>0</v>
      </c>
      <c r="N72" s="30">
        <f>K72+L72+M72</f>
        <v>7500</v>
      </c>
      <c r="O72" s="36"/>
      <c r="P72" s="16"/>
      <c r="Q72" s="34"/>
      <c r="R72" s="36"/>
      <c r="S72" s="18"/>
      <c r="T72" s="37"/>
    </row>
    <row r="73" spans="1:20" ht="56.25" customHeight="1">
      <c r="A73" s="40" t="s">
        <v>156</v>
      </c>
      <c r="B73" s="41" t="s">
        <v>64</v>
      </c>
      <c r="C73" s="22" t="s">
        <v>147</v>
      </c>
      <c r="D73" s="21" t="s">
        <v>192</v>
      </c>
      <c r="E73" s="24" t="s">
        <v>193</v>
      </c>
      <c r="F73" s="26" t="s">
        <v>75</v>
      </c>
      <c r="G73" s="26" t="s">
        <v>160</v>
      </c>
      <c r="H73" s="26" t="s">
        <v>160</v>
      </c>
      <c r="I73" s="29">
        <v>150</v>
      </c>
      <c r="J73" s="26">
        <v>3</v>
      </c>
      <c r="K73" s="33">
        <f t="shared" si="10"/>
        <v>450</v>
      </c>
      <c r="L73" s="33">
        <v>0</v>
      </c>
      <c r="M73" s="33">
        <v>0</v>
      </c>
      <c r="N73" s="30">
        <f>K73+L73+M73</f>
        <v>450</v>
      </c>
      <c r="O73" s="36"/>
      <c r="P73" s="16"/>
      <c r="Q73" s="34"/>
      <c r="R73" s="36" t="s">
        <v>70</v>
      </c>
      <c r="S73" s="18"/>
      <c r="T73" s="37"/>
    </row>
    <row r="74" spans="1:20" ht="31.7" customHeight="1">
      <c r="A74" s="20" t="s">
        <v>156</v>
      </c>
      <c r="B74" s="35" t="s">
        <v>64</v>
      </c>
      <c r="C74" s="22" t="s">
        <v>147</v>
      </c>
      <c r="D74" s="23" t="s">
        <v>194</v>
      </c>
      <c r="E74" s="23" t="s">
        <v>195</v>
      </c>
      <c r="F74" s="40" t="s">
        <v>196</v>
      </c>
      <c r="G74" s="42" t="s">
        <v>197</v>
      </c>
      <c r="H74" s="27">
        <v>3000</v>
      </c>
      <c r="I74" s="40">
        <v>1</v>
      </c>
      <c r="J74" s="43"/>
      <c r="K74" s="33">
        <f>H74*I74</f>
        <v>3000</v>
      </c>
      <c r="L74" s="33">
        <v>0</v>
      </c>
      <c r="M74" s="33">
        <v>0</v>
      </c>
      <c r="N74" s="30">
        <f>K74+L74+J74</f>
        <v>3000</v>
      </c>
      <c r="O74" s="36"/>
      <c r="P74" s="36"/>
      <c r="Q74" s="34" t="s">
        <v>70</v>
      </c>
      <c r="R74" s="36"/>
      <c r="S74" s="18"/>
      <c r="T74" s="38"/>
    </row>
    <row r="75" spans="1:20" ht="31.7" customHeight="1">
      <c r="A75" s="57" t="s">
        <v>156</v>
      </c>
      <c r="B75" s="62" t="s">
        <v>64</v>
      </c>
      <c r="C75" s="22" t="s">
        <v>198</v>
      </c>
      <c r="D75" s="59" t="s">
        <v>199</v>
      </c>
      <c r="E75" s="60" t="s">
        <v>200</v>
      </c>
      <c r="F75" s="61" t="s">
        <v>75</v>
      </c>
      <c r="G75" s="61" t="s">
        <v>201</v>
      </c>
      <c r="H75" s="61" t="s">
        <v>160</v>
      </c>
      <c r="I75" s="63">
        <v>85000</v>
      </c>
      <c r="J75" s="57">
        <v>1</v>
      </c>
      <c r="K75" s="63">
        <v>85000</v>
      </c>
      <c r="L75" s="33">
        <v>0</v>
      </c>
      <c r="M75" s="33">
        <v>0</v>
      </c>
      <c r="N75" s="63">
        <v>85000</v>
      </c>
      <c r="O75" s="36"/>
      <c r="P75" s="36"/>
      <c r="Q75" s="34"/>
      <c r="R75" s="36"/>
      <c r="S75" s="18"/>
      <c r="T75" s="38"/>
    </row>
    <row r="76" spans="1:20" ht="49.5" customHeight="1">
      <c r="A76" s="20" t="s">
        <v>156</v>
      </c>
      <c r="B76" s="35" t="s">
        <v>170</v>
      </c>
      <c r="C76" s="22" t="s">
        <v>198</v>
      </c>
      <c r="D76" s="45" t="s">
        <v>202</v>
      </c>
      <c r="E76" s="24" t="s">
        <v>203</v>
      </c>
      <c r="F76" s="26" t="s">
        <v>75</v>
      </c>
      <c r="G76" s="26" t="s">
        <v>68</v>
      </c>
      <c r="H76" s="26" t="s">
        <v>160</v>
      </c>
      <c r="I76" s="28">
        <v>90000</v>
      </c>
      <c r="J76" s="20">
        <v>3</v>
      </c>
      <c r="K76" s="39">
        <f>I76*J76</f>
        <v>270000</v>
      </c>
      <c r="L76" s="39">
        <v>0</v>
      </c>
      <c r="M76" s="39">
        <v>0</v>
      </c>
      <c r="N76" s="30">
        <f>K76*1.25</f>
        <v>337500</v>
      </c>
      <c r="O76" s="36"/>
      <c r="P76" s="34"/>
      <c r="Q76" s="34"/>
      <c r="R76" s="36"/>
      <c r="S76" s="18"/>
      <c r="T76" s="37"/>
    </row>
    <row r="77" spans="1:20" s="44" customFormat="1" ht="125.25" customHeight="1">
      <c r="A77" s="20" t="s">
        <v>156</v>
      </c>
      <c r="B77" s="35" t="s">
        <v>170</v>
      </c>
      <c r="C77" s="22" t="s">
        <v>147</v>
      </c>
      <c r="D77" s="13" t="s">
        <v>204</v>
      </c>
      <c r="E77" s="24" t="s">
        <v>205</v>
      </c>
      <c r="F77" s="26" t="s">
        <v>75</v>
      </c>
      <c r="G77" s="26" t="s">
        <v>69</v>
      </c>
      <c r="H77" s="26" t="s">
        <v>160</v>
      </c>
      <c r="I77" s="28">
        <v>7300</v>
      </c>
      <c r="J77" s="26">
        <v>9</v>
      </c>
      <c r="K77" s="39">
        <f>I77*J77</f>
        <v>65700</v>
      </c>
      <c r="L77" s="38">
        <v>0</v>
      </c>
      <c r="M77" s="38">
        <v>0</v>
      </c>
      <c r="N77" s="30">
        <f>K77+L77+M77</f>
        <v>65700</v>
      </c>
      <c r="O77" s="36"/>
      <c r="P77" s="34"/>
      <c r="Q77" s="34"/>
      <c r="R77" s="36"/>
      <c r="S77" s="18"/>
      <c r="T77" s="37"/>
    </row>
    <row r="78" spans="1:20" ht="24" customHeight="1">
      <c r="A78" s="20" t="s">
        <v>156</v>
      </c>
      <c r="B78" s="35" t="s">
        <v>157</v>
      </c>
      <c r="C78" s="22" t="s">
        <v>147</v>
      </c>
      <c r="D78" s="13" t="s">
        <v>206</v>
      </c>
      <c r="E78" s="24" t="s">
        <v>207</v>
      </c>
      <c r="F78" s="26" t="s">
        <v>75</v>
      </c>
      <c r="G78" s="26" t="s">
        <v>160</v>
      </c>
      <c r="H78" s="26" t="s">
        <v>160</v>
      </c>
      <c r="I78" s="28">
        <v>3000</v>
      </c>
      <c r="J78" s="26">
        <v>1</v>
      </c>
      <c r="K78" s="39">
        <f>I78*J78</f>
        <v>3000</v>
      </c>
      <c r="L78" s="38">
        <v>0</v>
      </c>
      <c r="M78" s="38">
        <v>0</v>
      </c>
      <c r="N78" s="30">
        <f>K78+L78+M78</f>
        <v>3000</v>
      </c>
      <c r="O78" s="36"/>
      <c r="P78" s="34"/>
      <c r="Q78" s="34"/>
      <c r="R78" s="36"/>
      <c r="S78" s="18"/>
      <c r="T78" s="37"/>
    </row>
    <row r="79" spans="1:20" customFormat="1" ht="182.1">
      <c r="A79" s="57" t="s">
        <v>156</v>
      </c>
      <c r="B79" s="58" t="s">
        <v>157</v>
      </c>
      <c r="C79" s="51" t="s">
        <v>147</v>
      </c>
      <c r="D79" s="23" t="s">
        <v>208</v>
      </c>
      <c r="E79" s="49" t="s">
        <v>209</v>
      </c>
      <c r="F79" s="25" t="s">
        <v>75</v>
      </c>
      <c r="G79" s="26" t="s">
        <v>69</v>
      </c>
      <c r="H79" s="20">
        <v>3</v>
      </c>
      <c r="I79" s="27">
        <v>10560</v>
      </c>
      <c r="J79" s="26">
        <v>3</v>
      </c>
      <c r="K79" s="52">
        <v>31680</v>
      </c>
      <c r="L79" s="28">
        <v>0</v>
      </c>
      <c r="M79" s="29">
        <v>0</v>
      </c>
      <c r="N79" s="30">
        <v>31680</v>
      </c>
      <c r="O79" s="64"/>
      <c r="P79" s="64"/>
      <c r="Q79" s="64" t="s">
        <v>70</v>
      </c>
      <c r="R79" s="64" t="s">
        <v>70</v>
      </c>
      <c r="S79" s="64"/>
      <c r="T79" s="64"/>
    </row>
    <row r="80" spans="1:20" ht="24" customHeight="1">
      <c r="A80" s="68" t="s">
        <v>156</v>
      </c>
      <c r="B80" s="68" t="s">
        <v>64</v>
      </c>
      <c r="C80" s="22" t="s">
        <v>147</v>
      </c>
      <c r="D80" s="45" t="s">
        <v>210</v>
      </c>
      <c r="E80" s="24" t="s">
        <v>211</v>
      </c>
      <c r="F80" s="26" t="s">
        <v>75</v>
      </c>
      <c r="G80" s="26" t="s">
        <v>69</v>
      </c>
      <c r="H80" s="26" t="s">
        <v>160</v>
      </c>
      <c r="I80" s="28">
        <v>75</v>
      </c>
      <c r="J80" s="26">
        <v>84</v>
      </c>
      <c r="K80" s="39">
        <f>I80*J80</f>
        <v>6300</v>
      </c>
      <c r="L80" s="39">
        <v>0</v>
      </c>
      <c r="M80" s="39">
        <v>0</v>
      </c>
      <c r="N80" s="30">
        <f>K80+L80+M80</f>
        <v>6300</v>
      </c>
      <c r="O80" s="26"/>
      <c r="P80" s="37"/>
      <c r="Q80" s="48"/>
      <c r="R80" s="37"/>
      <c r="S80" s="28"/>
      <c r="T80" s="37"/>
    </row>
    <row r="81" spans="1:20" ht="24" customHeight="1">
      <c r="A81" s="73"/>
      <c r="B81" s="95"/>
      <c r="C81" s="96"/>
      <c r="D81" s="97"/>
      <c r="E81" s="89"/>
      <c r="F81" s="84"/>
      <c r="G81" s="84"/>
      <c r="H81" s="84"/>
      <c r="I81" s="86"/>
      <c r="J81" s="84"/>
      <c r="K81" s="98"/>
      <c r="L81" s="99"/>
      <c r="M81" s="99"/>
      <c r="N81" s="91"/>
      <c r="O81" s="73"/>
      <c r="P81" s="100"/>
      <c r="Q81" s="100"/>
      <c r="R81" s="73"/>
      <c r="S81" s="86"/>
      <c r="T81" s="94"/>
    </row>
    <row r="82" spans="1:20" ht="97.5" customHeight="1">
      <c r="A82" s="20" t="s">
        <v>212</v>
      </c>
      <c r="B82" s="32" t="s">
        <v>64</v>
      </c>
      <c r="C82" s="69" t="s">
        <v>213</v>
      </c>
      <c r="D82" s="23" t="s">
        <v>214</v>
      </c>
      <c r="E82" s="23" t="s">
        <v>215</v>
      </c>
      <c r="F82" s="42" t="s">
        <v>75</v>
      </c>
      <c r="G82" s="42" t="s">
        <v>69</v>
      </c>
      <c r="H82" s="71">
        <v>3</v>
      </c>
      <c r="I82" s="72">
        <v>33.71</v>
      </c>
      <c r="J82" s="70">
        <v>500</v>
      </c>
      <c r="K82" s="47">
        <f>I82*J82</f>
        <v>16855</v>
      </c>
      <c r="L82" s="47">
        <v>0</v>
      </c>
      <c r="M82" s="47"/>
      <c r="N82" s="30">
        <f>K82+L82+M82</f>
        <v>16855</v>
      </c>
      <c r="O82" s="17"/>
      <c r="P82" s="16"/>
      <c r="Q82" s="16"/>
      <c r="R82" s="16"/>
      <c r="S82" s="18"/>
      <c r="T82" s="13"/>
    </row>
    <row r="83" spans="1:20" ht="24" customHeight="1">
      <c r="A83" s="73"/>
      <c r="B83" s="74"/>
      <c r="C83" s="101"/>
      <c r="D83" s="102"/>
      <c r="E83" s="102"/>
      <c r="F83" s="103"/>
      <c r="G83" s="103"/>
      <c r="H83" s="104"/>
      <c r="I83" s="105"/>
      <c r="J83" s="106"/>
      <c r="K83" s="107"/>
      <c r="L83" s="107"/>
      <c r="M83" s="107"/>
      <c r="N83" s="91"/>
      <c r="O83" s="85"/>
      <c r="P83" s="84"/>
      <c r="Q83" s="84"/>
      <c r="R83" s="84"/>
      <c r="S83" s="86"/>
      <c r="T83" s="97"/>
    </row>
    <row r="84" spans="1:20" ht="24" customHeight="1">
      <c r="A84" s="20" t="s">
        <v>216</v>
      </c>
      <c r="B84" s="32" t="s">
        <v>170</v>
      </c>
      <c r="C84" s="31" t="s">
        <v>185</v>
      </c>
      <c r="D84" s="23" t="s">
        <v>217</v>
      </c>
      <c r="E84" s="49" t="s">
        <v>218</v>
      </c>
      <c r="F84" s="25" t="s">
        <v>69</v>
      </c>
      <c r="G84" s="26" t="s">
        <v>69</v>
      </c>
      <c r="H84" s="20">
        <v>1</v>
      </c>
      <c r="I84" s="67">
        <v>150</v>
      </c>
      <c r="J84" s="26">
        <v>1</v>
      </c>
      <c r="K84" s="47">
        <f>I84*J84</f>
        <v>150</v>
      </c>
      <c r="L84" s="28">
        <v>0</v>
      </c>
      <c r="M84" s="28">
        <v>0</v>
      </c>
      <c r="N84" s="30">
        <f>SUM(K84:M84)</f>
        <v>150</v>
      </c>
      <c r="O84" s="17"/>
      <c r="P84" s="16"/>
      <c r="Q84" s="16"/>
      <c r="R84" s="16"/>
      <c r="S84" s="18"/>
      <c r="T84" s="13"/>
    </row>
    <row r="85" spans="1:20" ht="24" customHeight="1">
      <c r="A85" s="73"/>
      <c r="B85" s="74"/>
      <c r="C85" s="75"/>
      <c r="D85" s="102"/>
      <c r="E85" s="108"/>
      <c r="F85" s="90"/>
      <c r="G85" s="84"/>
      <c r="H85" s="73"/>
      <c r="I85" s="92"/>
      <c r="J85" s="84"/>
      <c r="K85" s="93"/>
      <c r="L85" s="86"/>
      <c r="M85" s="86"/>
      <c r="N85" s="91"/>
      <c r="O85" s="85"/>
      <c r="P85" s="84"/>
      <c r="Q85" s="84"/>
      <c r="R85" s="84"/>
      <c r="S85" s="86"/>
      <c r="T85" s="97"/>
    </row>
    <row r="86" spans="1:20" ht="24" customHeight="1">
      <c r="A86" s="20" t="s">
        <v>219</v>
      </c>
      <c r="B86" s="32" t="s">
        <v>170</v>
      </c>
      <c r="C86" s="31" t="s">
        <v>72</v>
      </c>
      <c r="D86" s="23" t="s">
        <v>220</v>
      </c>
      <c r="E86" s="49" t="s">
        <v>221</v>
      </c>
      <c r="F86" s="25" t="s">
        <v>75</v>
      </c>
      <c r="G86" s="26" t="s">
        <v>69</v>
      </c>
      <c r="H86" s="20">
        <v>1</v>
      </c>
      <c r="I86" s="67">
        <v>35.32</v>
      </c>
      <c r="J86" s="26">
        <v>6</v>
      </c>
      <c r="K86" s="47">
        <f t="shared" ref="K86:K94" si="11">I86*J86</f>
        <v>211.92000000000002</v>
      </c>
      <c r="L86" s="28">
        <v>0</v>
      </c>
      <c r="M86" s="28">
        <v>0</v>
      </c>
      <c r="N86" s="30">
        <f t="shared" ref="N86:N94" si="12">SUM(K86:M86)</f>
        <v>211.92000000000002</v>
      </c>
      <c r="O86" s="17"/>
      <c r="P86" s="16"/>
      <c r="Q86" s="16"/>
      <c r="R86" s="16"/>
      <c r="S86" s="18"/>
      <c r="T86" s="13"/>
    </row>
    <row r="87" spans="1:20" ht="24" customHeight="1">
      <c r="A87" s="20" t="s">
        <v>219</v>
      </c>
      <c r="B87" s="32" t="s">
        <v>170</v>
      </c>
      <c r="C87" s="31" t="s">
        <v>185</v>
      </c>
      <c r="D87" s="23" t="s">
        <v>222</v>
      </c>
      <c r="E87" s="49" t="s">
        <v>223</v>
      </c>
      <c r="F87" s="25" t="s">
        <v>75</v>
      </c>
      <c r="G87" s="26" t="s">
        <v>69</v>
      </c>
      <c r="H87" s="20">
        <v>1</v>
      </c>
      <c r="I87" s="27">
        <v>239</v>
      </c>
      <c r="J87" s="26">
        <v>1</v>
      </c>
      <c r="K87" s="47">
        <f t="shared" si="11"/>
        <v>239</v>
      </c>
      <c r="L87" s="29">
        <v>0</v>
      </c>
      <c r="M87" s="29">
        <v>0</v>
      </c>
      <c r="N87" s="30">
        <f t="shared" si="12"/>
        <v>239</v>
      </c>
      <c r="O87" s="17"/>
      <c r="P87" s="16"/>
      <c r="Q87" s="16"/>
      <c r="R87" s="16"/>
      <c r="S87" s="18"/>
      <c r="T87" s="13"/>
    </row>
    <row r="88" spans="1:20" ht="24" customHeight="1">
      <c r="A88" s="20" t="s">
        <v>219</v>
      </c>
      <c r="B88" s="32" t="s">
        <v>87</v>
      </c>
      <c r="C88" s="31" t="s">
        <v>185</v>
      </c>
      <c r="D88" s="23" t="s">
        <v>224</v>
      </c>
      <c r="E88" s="49" t="s">
        <v>225</v>
      </c>
      <c r="F88" s="25" t="s">
        <v>75</v>
      </c>
      <c r="G88" s="26" t="s">
        <v>69</v>
      </c>
      <c r="H88" s="20">
        <v>1</v>
      </c>
      <c r="I88" s="27">
        <v>149</v>
      </c>
      <c r="J88" s="26">
        <v>2</v>
      </c>
      <c r="K88" s="47">
        <f t="shared" si="11"/>
        <v>298</v>
      </c>
      <c r="L88" s="29">
        <v>0</v>
      </c>
      <c r="M88" s="29">
        <v>0</v>
      </c>
      <c r="N88" s="30">
        <f t="shared" si="12"/>
        <v>298</v>
      </c>
      <c r="O88" s="17"/>
      <c r="P88" s="16"/>
      <c r="Q88" s="16"/>
      <c r="R88" s="16"/>
      <c r="S88" s="18"/>
      <c r="T88" s="13"/>
    </row>
    <row r="89" spans="1:20" ht="24" customHeight="1">
      <c r="A89" s="20" t="s">
        <v>219</v>
      </c>
      <c r="B89" s="32" t="s">
        <v>87</v>
      </c>
      <c r="C89" s="31" t="s">
        <v>185</v>
      </c>
      <c r="D89" s="23" t="s">
        <v>226</v>
      </c>
      <c r="E89" s="49" t="s">
        <v>227</v>
      </c>
      <c r="F89" s="25" t="s">
        <v>75</v>
      </c>
      <c r="G89" s="26" t="s">
        <v>69</v>
      </c>
      <c r="H89" s="20">
        <v>1</v>
      </c>
      <c r="I89" s="27">
        <v>4500</v>
      </c>
      <c r="J89" s="26">
        <v>1</v>
      </c>
      <c r="K89" s="47">
        <f t="shared" si="11"/>
        <v>4500</v>
      </c>
      <c r="L89" s="29">
        <v>0</v>
      </c>
      <c r="M89" s="29">
        <v>0</v>
      </c>
      <c r="N89" s="30">
        <f t="shared" si="12"/>
        <v>4500</v>
      </c>
      <c r="O89" s="17"/>
      <c r="P89" s="16"/>
      <c r="Q89" s="16"/>
      <c r="R89" s="16"/>
      <c r="S89" s="18"/>
      <c r="T89" s="13"/>
    </row>
    <row r="90" spans="1:20" ht="24" customHeight="1">
      <c r="A90" s="20" t="s">
        <v>219</v>
      </c>
      <c r="B90" s="32" t="s">
        <v>87</v>
      </c>
      <c r="C90" s="31" t="s">
        <v>185</v>
      </c>
      <c r="D90" s="23" t="s">
        <v>228</v>
      </c>
      <c r="E90" s="49" t="s">
        <v>229</v>
      </c>
      <c r="F90" s="25" t="s">
        <v>75</v>
      </c>
      <c r="G90" s="26" t="s">
        <v>69</v>
      </c>
      <c r="H90" s="20">
        <v>1</v>
      </c>
      <c r="I90" s="27">
        <v>8400</v>
      </c>
      <c r="J90" s="26">
        <v>1</v>
      </c>
      <c r="K90" s="47">
        <f t="shared" si="11"/>
        <v>8400</v>
      </c>
      <c r="L90" s="29">
        <v>0</v>
      </c>
      <c r="M90" s="29">
        <v>0</v>
      </c>
      <c r="N90" s="30">
        <f t="shared" si="12"/>
        <v>8400</v>
      </c>
      <c r="O90" s="17"/>
      <c r="P90" s="16"/>
      <c r="Q90" s="16"/>
      <c r="R90" s="16"/>
      <c r="S90" s="18"/>
      <c r="T90" s="13"/>
    </row>
    <row r="91" spans="1:20" ht="24" customHeight="1">
      <c r="A91" s="20" t="s">
        <v>219</v>
      </c>
      <c r="B91" s="32" t="s">
        <v>118</v>
      </c>
      <c r="C91" s="31" t="s">
        <v>185</v>
      </c>
      <c r="D91" s="23" t="s">
        <v>230</v>
      </c>
      <c r="E91" s="49" t="s">
        <v>231</v>
      </c>
      <c r="F91" s="25" t="s">
        <v>75</v>
      </c>
      <c r="G91" s="26" t="s">
        <v>69</v>
      </c>
      <c r="H91" s="20">
        <v>1</v>
      </c>
      <c r="I91" s="27">
        <v>120</v>
      </c>
      <c r="J91" s="26">
        <v>6</v>
      </c>
      <c r="K91" s="47">
        <f t="shared" si="11"/>
        <v>720</v>
      </c>
      <c r="L91" s="29">
        <v>0</v>
      </c>
      <c r="M91" s="29">
        <v>0</v>
      </c>
      <c r="N91" s="30">
        <f t="shared" si="12"/>
        <v>720</v>
      </c>
      <c r="O91" s="17"/>
      <c r="P91" s="16"/>
      <c r="Q91" s="16"/>
      <c r="R91" s="16"/>
      <c r="S91" s="18"/>
      <c r="T91" s="13"/>
    </row>
    <row r="92" spans="1:20" ht="69.75" customHeight="1">
      <c r="A92" s="20" t="s">
        <v>219</v>
      </c>
      <c r="B92" s="51" t="s">
        <v>170</v>
      </c>
      <c r="C92" s="31" t="s">
        <v>185</v>
      </c>
      <c r="D92" s="23" t="s">
        <v>232</v>
      </c>
      <c r="E92" s="49" t="s">
        <v>233</v>
      </c>
      <c r="F92" s="25" t="s">
        <v>75</v>
      </c>
      <c r="G92" s="26" t="s">
        <v>69</v>
      </c>
      <c r="H92" s="20">
        <v>1</v>
      </c>
      <c r="I92" s="27">
        <v>120</v>
      </c>
      <c r="J92" s="26">
        <v>1</v>
      </c>
      <c r="K92" s="47">
        <f t="shared" si="11"/>
        <v>120</v>
      </c>
      <c r="L92" s="29">
        <v>0</v>
      </c>
      <c r="M92" s="29">
        <v>0</v>
      </c>
      <c r="N92" s="30">
        <f t="shared" si="12"/>
        <v>120</v>
      </c>
      <c r="O92" s="16"/>
      <c r="P92" s="16"/>
      <c r="Q92" s="16" t="s">
        <v>70</v>
      </c>
      <c r="R92" s="16"/>
      <c r="S92" s="18"/>
      <c r="T92" s="38" t="s">
        <v>71</v>
      </c>
    </row>
    <row r="93" spans="1:20" ht="45" customHeight="1">
      <c r="A93" s="133" t="s">
        <v>219</v>
      </c>
      <c r="B93" s="134" t="s">
        <v>170</v>
      </c>
      <c r="C93" s="134" t="s">
        <v>147</v>
      </c>
      <c r="D93" s="135" t="s">
        <v>234</v>
      </c>
      <c r="E93" s="136" t="s">
        <v>235</v>
      </c>
      <c r="F93" s="137" t="s">
        <v>75</v>
      </c>
      <c r="G93" s="138" t="s">
        <v>69</v>
      </c>
      <c r="H93" s="133">
        <v>1</v>
      </c>
      <c r="I93" s="139">
        <v>85000</v>
      </c>
      <c r="J93" s="138">
        <v>1</v>
      </c>
      <c r="K93" s="47">
        <f t="shared" si="11"/>
        <v>85000</v>
      </c>
      <c r="L93" s="140">
        <v>0</v>
      </c>
      <c r="M93" s="141">
        <v>0</v>
      </c>
      <c r="N93" s="30">
        <f t="shared" si="12"/>
        <v>85000</v>
      </c>
      <c r="O93" s="142"/>
      <c r="P93" s="142"/>
      <c r="Q93" s="719"/>
      <c r="R93" s="142"/>
      <c r="S93" s="720"/>
      <c r="T93" s="721"/>
    </row>
    <row r="94" spans="1:20" ht="90.75">
      <c r="A94" s="125" t="s">
        <v>236</v>
      </c>
      <c r="B94" s="126" t="s">
        <v>64</v>
      </c>
      <c r="C94" s="127" t="s">
        <v>147</v>
      </c>
      <c r="D94" s="128" t="s">
        <v>188</v>
      </c>
      <c r="E94" s="128" t="s">
        <v>237</v>
      </c>
      <c r="F94" s="129"/>
      <c r="G94" s="129"/>
      <c r="H94" s="129"/>
      <c r="I94" s="130">
        <v>2400</v>
      </c>
      <c r="J94" s="126">
        <v>9</v>
      </c>
      <c r="K94" s="47">
        <f t="shared" si="11"/>
        <v>21600</v>
      </c>
      <c r="L94" s="131">
        <v>0</v>
      </c>
      <c r="M94" s="132">
        <v>0</v>
      </c>
      <c r="N94" s="718">
        <f t="shared" si="12"/>
        <v>21600</v>
      </c>
      <c r="O94" s="722"/>
      <c r="P94" s="722"/>
      <c r="Q94" s="722"/>
      <c r="R94" s="722"/>
      <c r="S94" s="723"/>
      <c r="T94" s="128"/>
    </row>
  </sheetData>
  <mergeCells count="6">
    <mergeCell ref="T4:T5"/>
    <mergeCell ref="B1:N1"/>
    <mergeCell ref="B2:R2"/>
    <mergeCell ref="B3:R3"/>
    <mergeCell ref="A4:N4"/>
    <mergeCell ref="O4:R4"/>
  </mergeCells>
  <dataValidations disablePrompts="1" count="1">
    <dataValidation allowBlank="1" showInputMessage="1" showErrorMessage="1" promptTitle="Enter Justification" sqref="E65 E86:E88 E6:E10 E13:E51 A40:C40 E53:E57 M40 F40:J40 O38:P44 S38:T44" xr:uid="{00000000-0002-0000-0000-000000000000}"/>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1FDD-81E2-FB4E-899C-3FCFB55E012B}">
  <dimension ref="A1:T126"/>
  <sheetViews>
    <sheetView topLeftCell="A55" zoomScale="90" zoomScaleNormal="90" workbookViewId="0">
      <selection activeCell="A75" sqref="A75"/>
    </sheetView>
  </sheetViews>
  <sheetFormatPr defaultColWidth="8.875" defaultRowHeight="15.95"/>
  <cols>
    <col min="1" max="2" width="8.875" style="5"/>
    <col min="3" max="3" width="11.875" style="5" customWidth="1"/>
    <col min="4" max="4" width="54.375" style="5" customWidth="1"/>
    <col min="5" max="5" width="48.625" style="5" customWidth="1"/>
    <col min="6" max="7" width="8.875" style="178"/>
    <col min="8" max="8" width="9" style="178" bestFit="1" customWidth="1"/>
    <col min="9" max="9" width="14.625" style="5" customWidth="1"/>
    <col min="10" max="10" width="9" style="5" bestFit="1" customWidth="1"/>
    <col min="11" max="11" width="16.375" style="5" customWidth="1"/>
    <col min="12" max="12" width="15.375" style="5" customWidth="1"/>
    <col min="13" max="13" width="17" style="5" customWidth="1"/>
    <col min="14" max="14" width="15.5" style="5" bestFit="1" customWidth="1"/>
    <col min="15" max="19" width="8.875" style="5"/>
    <col min="20" max="20" width="39.125" style="177" customWidth="1"/>
    <col min="21" max="16384" width="8.875" style="5"/>
  </cols>
  <sheetData>
    <row r="1" spans="1:20">
      <c r="A1" s="1"/>
      <c r="B1" s="725" t="s">
        <v>40</v>
      </c>
      <c r="C1" s="725"/>
      <c r="D1" s="725"/>
      <c r="E1" s="725"/>
      <c r="F1" s="725"/>
      <c r="G1" s="725"/>
      <c r="H1" s="725"/>
      <c r="I1" s="725"/>
      <c r="J1" s="725"/>
      <c r="K1" s="725"/>
      <c r="L1" s="725"/>
      <c r="M1" s="725"/>
      <c r="N1" s="725"/>
      <c r="O1" s="2"/>
      <c r="P1" s="2"/>
      <c r="Q1" s="2"/>
      <c r="R1" s="2"/>
      <c r="S1" s="1"/>
      <c r="T1" s="4"/>
    </row>
    <row r="2" spans="1:20">
      <c r="A2" s="1"/>
      <c r="B2" s="726" t="s">
        <v>238</v>
      </c>
      <c r="C2" s="732"/>
      <c r="D2" s="733"/>
      <c r="E2" s="733"/>
      <c r="F2" s="733"/>
      <c r="G2" s="733"/>
      <c r="H2" s="733"/>
      <c r="I2" s="733"/>
      <c r="J2" s="733"/>
      <c r="K2" s="733"/>
      <c r="L2" s="733"/>
      <c r="M2" s="733"/>
      <c r="N2" s="733"/>
      <c r="O2" s="733"/>
      <c r="P2" s="733"/>
      <c r="Q2" s="733"/>
      <c r="R2" s="734"/>
      <c r="S2" s="1"/>
      <c r="T2" s="4"/>
    </row>
    <row r="3" spans="1:20" ht="94.5" customHeight="1">
      <c r="A3" s="1"/>
      <c r="B3" s="727" t="s">
        <v>42</v>
      </c>
      <c r="C3" s="735"/>
      <c r="D3" s="736"/>
      <c r="E3" s="736"/>
      <c r="F3" s="736"/>
      <c r="G3" s="736"/>
      <c r="H3" s="736"/>
      <c r="I3" s="736"/>
      <c r="J3" s="736"/>
      <c r="K3" s="736"/>
      <c r="L3" s="736"/>
      <c r="M3" s="736"/>
      <c r="N3" s="736"/>
      <c r="O3" s="736"/>
      <c r="P3" s="736"/>
      <c r="Q3" s="736"/>
      <c r="R3" s="736"/>
      <c r="S3" s="1"/>
      <c r="T3" s="4"/>
    </row>
    <row r="4" spans="1:20" ht="23.1">
      <c r="A4" s="728"/>
      <c r="B4" s="728"/>
      <c r="C4" s="728"/>
      <c r="D4" s="728"/>
      <c r="E4" s="728"/>
      <c r="F4" s="728"/>
      <c r="G4" s="728"/>
      <c r="H4" s="728"/>
      <c r="I4" s="728"/>
      <c r="J4" s="728"/>
      <c r="K4" s="728"/>
      <c r="L4" s="728"/>
      <c r="M4" s="728"/>
      <c r="N4" s="728"/>
      <c r="O4" s="729" t="s">
        <v>43</v>
      </c>
      <c r="P4" s="729"/>
      <c r="Q4" s="729"/>
      <c r="R4" s="729"/>
      <c r="S4" s="729"/>
      <c r="T4" s="731" t="s">
        <v>44</v>
      </c>
    </row>
    <row r="5" spans="1:20" ht="90.95">
      <c r="A5" s="7" t="s">
        <v>45</v>
      </c>
      <c r="B5" s="8" t="s">
        <v>46</v>
      </c>
      <c r="C5" s="8" t="s">
        <v>47</v>
      </c>
      <c r="D5" s="9" t="s">
        <v>48</v>
      </c>
      <c r="E5" s="9" t="s">
        <v>49</v>
      </c>
      <c r="F5" s="7" t="s">
        <v>50</v>
      </c>
      <c r="G5" s="7" t="s">
        <v>51</v>
      </c>
      <c r="H5" s="7" t="s">
        <v>52</v>
      </c>
      <c r="I5" s="7" t="s">
        <v>53</v>
      </c>
      <c r="J5" s="7" t="s">
        <v>54</v>
      </c>
      <c r="K5" s="10" t="s">
        <v>55</v>
      </c>
      <c r="L5" s="7" t="s">
        <v>56</v>
      </c>
      <c r="M5" s="7" t="s">
        <v>57</v>
      </c>
      <c r="N5" s="7" t="s">
        <v>58</v>
      </c>
      <c r="O5" s="11" t="s">
        <v>59</v>
      </c>
      <c r="P5" s="11" t="s">
        <v>60</v>
      </c>
      <c r="Q5" s="11" t="s">
        <v>61</v>
      </c>
      <c r="R5" s="11" t="s">
        <v>62</v>
      </c>
      <c r="S5" s="11" t="s">
        <v>105</v>
      </c>
      <c r="T5" s="731"/>
    </row>
    <row r="6" spans="1:20" ht="35.1" customHeight="1">
      <c r="A6" s="20" t="s">
        <v>239</v>
      </c>
      <c r="B6" s="51" t="s">
        <v>64</v>
      </c>
      <c r="C6" s="51" t="s">
        <v>65</v>
      </c>
      <c r="D6" s="24" t="s">
        <v>240</v>
      </c>
      <c r="E6" s="744" t="s">
        <v>241</v>
      </c>
      <c r="F6" s="26" t="s">
        <v>75</v>
      </c>
      <c r="G6" s="26" t="s">
        <v>69</v>
      </c>
      <c r="H6" s="26">
        <v>1</v>
      </c>
      <c r="I6" s="28">
        <v>233.3</v>
      </c>
      <c r="J6" s="20">
        <v>4</v>
      </c>
      <c r="K6" s="28">
        <f t="shared" ref="K6:K18" si="0">I6*J6</f>
        <v>933.2</v>
      </c>
      <c r="L6" s="28">
        <f t="shared" ref="L6:L18" si="1">K6*9%</f>
        <v>83.988</v>
      </c>
      <c r="M6" s="28">
        <v>30</v>
      </c>
      <c r="N6" s="30">
        <f t="shared" ref="N6:N18" si="2">K6+L6+M6</f>
        <v>1047.1880000000001</v>
      </c>
      <c r="O6" s="282"/>
      <c r="P6" s="282"/>
      <c r="Q6" s="282"/>
      <c r="R6" s="282"/>
      <c r="S6" s="353"/>
      <c r="T6" s="13"/>
    </row>
    <row r="7" spans="1:20" ht="33" customHeight="1">
      <c r="A7" s="20" t="s">
        <v>239</v>
      </c>
      <c r="B7" s="51" t="s">
        <v>64</v>
      </c>
      <c r="C7" s="51" t="s">
        <v>65</v>
      </c>
      <c r="D7" s="13" t="s">
        <v>242</v>
      </c>
      <c r="E7" s="744"/>
      <c r="F7" s="26" t="s">
        <v>75</v>
      </c>
      <c r="G7" s="26" t="s">
        <v>69</v>
      </c>
      <c r="H7" s="20">
        <v>1</v>
      </c>
      <c r="I7" s="28">
        <v>124.1</v>
      </c>
      <c r="J7" s="26">
        <v>3</v>
      </c>
      <c r="K7" s="28">
        <f t="shared" si="0"/>
        <v>372.29999999999995</v>
      </c>
      <c r="L7" s="28">
        <f t="shared" si="1"/>
        <v>33.506999999999998</v>
      </c>
      <c r="M7" s="28">
        <v>30</v>
      </c>
      <c r="N7" s="30">
        <f t="shared" si="2"/>
        <v>435.80699999999996</v>
      </c>
      <c r="O7" s="282"/>
      <c r="P7" s="282"/>
      <c r="Q7" s="282"/>
      <c r="R7" s="282"/>
      <c r="S7" s="353"/>
      <c r="T7" s="13"/>
    </row>
    <row r="8" spans="1:20" ht="31.7" customHeight="1">
      <c r="A8" s="20" t="s">
        <v>239</v>
      </c>
      <c r="B8" s="51" t="s">
        <v>64</v>
      </c>
      <c r="C8" s="51" t="s">
        <v>65</v>
      </c>
      <c r="D8" s="361" t="s">
        <v>243</v>
      </c>
      <c r="E8" s="744"/>
      <c r="F8" s="26" t="s">
        <v>75</v>
      </c>
      <c r="G8" s="26" t="s">
        <v>76</v>
      </c>
      <c r="H8" s="116">
        <v>10</v>
      </c>
      <c r="I8" s="360">
        <v>247</v>
      </c>
      <c r="J8" s="25">
        <v>2</v>
      </c>
      <c r="K8" s="28">
        <f t="shared" si="0"/>
        <v>494</v>
      </c>
      <c r="L8" s="28">
        <f t="shared" si="1"/>
        <v>44.46</v>
      </c>
      <c r="M8" s="360">
        <v>50</v>
      </c>
      <c r="N8" s="30">
        <f t="shared" si="2"/>
        <v>588.46</v>
      </c>
      <c r="O8" s="282"/>
      <c r="P8" s="282"/>
      <c r="Q8" s="282"/>
      <c r="R8" s="282"/>
      <c r="S8" s="353"/>
      <c r="T8" s="13"/>
    </row>
    <row r="9" spans="1:20" ht="31.7" customHeight="1">
      <c r="A9" s="20" t="s">
        <v>239</v>
      </c>
      <c r="B9" s="51" t="s">
        <v>64</v>
      </c>
      <c r="C9" s="51" t="s">
        <v>65</v>
      </c>
      <c r="D9" s="361" t="s">
        <v>244</v>
      </c>
      <c r="E9" s="744"/>
      <c r="F9" s="26" t="s">
        <v>75</v>
      </c>
      <c r="G9" s="26" t="s">
        <v>76</v>
      </c>
      <c r="H9" s="116">
        <v>10</v>
      </c>
      <c r="I9" s="360">
        <v>296</v>
      </c>
      <c r="J9" s="25">
        <v>4</v>
      </c>
      <c r="K9" s="28">
        <f t="shared" si="0"/>
        <v>1184</v>
      </c>
      <c r="L9" s="28">
        <f t="shared" si="1"/>
        <v>106.56</v>
      </c>
      <c r="M9" s="360">
        <v>100</v>
      </c>
      <c r="N9" s="30">
        <f t="shared" si="2"/>
        <v>1390.56</v>
      </c>
      <c r="O9" s="282"/>
      <c r="P9" s="282"/>
      <c r="Q9" s="282"/>
      <c r="R9" s="282"/>
      <c r="S9" s="353"/>
      <c r="T9" s="13"/>
    </row>
    <row r="10" spans="1:20" ht="31.7" customHeight="1">
      <c r="A10" s="20" t="s">
        <v>239</v>
      </c>
      <c r="B10" s="51" t="s">
        <v>64</v>
      </c>
      <c r="C10" s="51" t="s">
        <v>65</v>
      </c>
      <c r="D10" s="362" t="s">
        <v>245</v>
      </c>
      <c r="E10" s="744"/>
      <c r="F10" s="26" t="s">
        <v>75</v>
      </c>
      <c r="G10" s="26" t="s">
        <v>76</v>
      </c>
      <c r="H10" s="116">
        <v>10</v>
      </c>
      <c r="I10" s="360">
        <v>200</v>
      </c>
      <c r="J10" s="25">
        <v>7</v>
      </c>
      <c r="K10" s="28">
        <f t="shared" si="0"/>
        <v>1400</v>
      </c>
      <c r="L10" s="28">
        <f t="shared" si="1"/>
        <v>126</v>
      </c>
      <c r="M10" s="360">
        <v>100</v>
      </c>
      <c r="N10" s="30">
        <f t="shared" si="2"/>
        <v>1626</v>
      </c>
      <c r="O10" s="282"/>
      <c r="P10" s="282"/>
      <c r="Q10" s="282"/>
      <c r="R10" s="282"/>
      <c r="S10" s="353"/>
      <c r="T10" s="13"/>
    </row>
    <row r="11" spans="1:20" ht="31.7" customHeight="1">
      <c r="A11" s="20" t="s">
        <v>239</v>
      </c>
      <c r="B11" s="51" t="s">
        <v>64</v>
      </c>
      <c r="C11" s="51" t="s">
        <v>65</v>
      </c>
      <c r="D11" s="361" t="s">
        <v>246</v>
      </c>
      <c r="E11" s="744"/>
      <c r="F11" s="26" t="s">
        <v>75</v>
      </c>
      <c r="G11" s="26" t="s">
        <v>76</v>
      </c>
      <c r="H11" s="116">
        <v>5</v>
      </c>
      <c r="I11" s="360">
        <v>489</v>
      </c>
      <c r="J11" s="25">
        <v>5</v>
      </c>
      <c r="K11" s="28">
        <f t="shared" si="0"/>
        <v>2445</v>
      </c>
      <c r="L11" s="28">
        <f t="shared" si="1"/>
        <v>220.04999999999998</v>
      </c>
      <c r="M11" s="360">
        <v>200</v>
      </c>
      <c r="N11" s="30">
        <f t="shared" si="2"/>
        <v>2865.05</v>
      </c>
      <c r="O11" s="281"/>
      <c r="P11" s="281"/>
      <c r="Q11" s="281"/>
      <c r="R11" s="281"/>
      <c r="S11" s="282"/>
      <c r="T11" s="13"/>
    </row>
    <row r="12" spans="1:20" ht="31.7" customHeight="1">
      <c r="A12" s="20" t="s">
        <v>239</v>
      </c>
      <c r="B12" s="51" t="s">
        <v>64</v>
      </c>
      <c r="C12" s="51" t="s">
        <v>65</v>
      </c>
      <c r="D12" s="13" t="s">
        <v>247</v>
      </c>
      <c r="E12" s="744"/>
      <c r="F12" s="26" t="s">
        <v>75</v>
      </c>
      <c r="G12" s="26" t="s">
        <v>76</v>
      </c>
      <c r="H12" s="20">
        <v>5</v>
      </c>
      <c r="I12" s="28">
        <v>10</v>
      </c>
      <c r="J12" s="26">
        <v>200</v>
      </c>
      <c r="K12" s="28">
        <f t="shared" si="0"/>
        <v>2000</v>
      </c>
      <c r="L12" s="28">
        <f t="shared" si="1"/>
        <v>180</v>
      </c>
      <c r="M12" s="28">
        <v>200</v>
      </c>
      <c r="N12" s="30">
        <f t="shared" si="2"/>
        <v>2380</v>
      </c>
      <c r="O12" s="281"/>
      <c r="P12" s="281"/>
      <c r="Q12" s="281"/>
      <c r="R12" s="281"/>
      <c r="S12" s="282"/>
      <c r="T12" s="13"/>
    </row>
    <row r="13" spans="1:20" ht="31.7" customHeight="1">
      <c r="A13" s="20" t="s">
        <v>239</v>
      </c>
      <c r="B13" s="51" t="s">
        <v>87</v>
      </c>
      <c r="C13" s="51" t="s">
        <v>65</v>
      </c>
      <c r="D13" s="13" t="s">
        <v>248</v>
      </c>
      <c r="E13" s="744"/>
      <c r="F13" s="26" t="s">
        <v>75</v>
      </c>
      <c r="G13" s="26" t="s">
        <v>76</v>
      </c>
      <c r="H13" s="20">
        <v>10</v>
      </c>
      <c r="I13" s="28">
        <v>258.39999999999998</v>
      </c>
      <c r="J13" s="26">
        <v>2</v>
      </c>
      <c r="K13" s="28">
        <f t="shared" si="0"/>
        <v>516.79999999999995</v>
      </c>
      <c r="L13" s="28">
        <f t="shared" si="1"/>
        <v>46.511999999999993</v>
      </c>
      <c r="M13" s="28">
        <v>100</v>
      </c>
      <c r="N13" s="30">
        <f t="shared" si="2"/>
        <v>663.3119999999999</v>
      </c>
      <c r="O13" s="281"/>
      <c r="P13" s="281"/>
      <c r="Q13" s="281"/>
      <c r="R13" s="281"/>
      <c r="S13" s="282"/>
      <c r="T13" s="13"/>
    </row>
    <row r="14" spans="1:20" ht="31.7" customHeight="1">
      <c r="A14" s="20" t="s">
        <v>239</v>
      </c>
      <c r="B14" s="51" t="s">
        <v>87</v>
      </c>
      <c r="C14" s="51" t="s">
        <v>65</v>
      </c>
      <c r="D14" s="13" t="s">
        <v>249</v>
      </c>
      <c r="E14" s="744"/>
      <c r="F14" s="26" t="s">
        <v>75</v>
      </c>
      <c r="G14" s="26" t="s">
        <v>76</v>
      </c>
      <c r="H14" s="20">
        <v>10</v>
      </c>
      <c r="I14" s="28">
        <v>174.4</v>
      </c>
      <c r="J14" s="26">
        <v>8</v>
      </c>
      <c r="K14" s="28">
        <f t="shared" si="0"/>
        <v>1395.2</v>
      </c>
      <c r="L14" s="28">
        <f t="shared" si="1"/>
        <v>125.568</v>
      </c>
      <c r="M14" s="28">
        <v>200</v>
      </c>
      <c r="N14" s="30">
        <f t="shared" si="2"/>
        <v>1720.768</v>
      </c>
      <c r="O14" s="281"/>
      <c r="P14" s="281"/>
      <c r="Q14" s="281"/>
      <c r="R14" s="281"/>
      <c r="S14" s="353"/>
      <c r="T14" s="13"/>
    </row>
    <row r="15" spans="1:20" ht="31.7" customHeight="1">
      <c r="A15" s="20" t="s">
        <v>239</v>
      </c>
      <c r="B15" s="51" t="s">
        <v>87</v>
      </c>
      <c r="C15" s="51" t="s">
        <v>65</v>
      </c>
      <c r="D15" s="13" t="s">
        <v>250</v>
      </c>
      <c r="E15" s="744"/>
      <c r="F15" s="26" t="s">
        <v>75</v>
      </c>
      <c r="G15" s="26" t="s">
        <v>76</v>
      </c>
      <c r="H15" s="20">
        <v>10</v>
      </c>
      <c r="I15" s="28">
        <v>430.46</v>
      </c>
      <c r="J15" s="26">
        <v>6</v>
      </c>
      <c r="K15" s="28">
        <f t="shared" si="0"/>
        <v>2582.7599999999998</v>
      </c>
      <c r="L15" s="28">
        <f t="shared" si="1"/>
        <v>232.44839999999996</v>
      </c>
      <c r="M15" s="28">
        <v>300</v>
      </c>
      <c r="N15" s="30">
        <f t="shared" si="2"/>
        <v>3115.2083999999995</v>
      </c>
      <c r="O15" s="281"/>
      <c r="P15" s="281"/>
      <c r="Q15" s="281"/>
      <c r="R15" s="281"/>
      <c r="S15" s="353"/>
      <c r="T15" s="13"/>
    </row>
    <row r="16" spans="1:20" ht="31.7" customHeight="1">
      <c r="A16" s="20" t="s">
        <v>239</v>
      </c>
      <c r="B16" s="51" t="s">
        <v>87</v>
      </c>
      <c r="C16" s="51" t="s">
        <v>65</v>
      </c>
      <c r="D16" s="13" t="s">
        <v>251</v>
      </c>
      <c r="E16" s="744"/>
      <c r="F16" s="26" t="s">
        <v>75</v>
      </c>
      <c r="G16" s="26" t="s">
        <v>76</v>
      </c>
      <c r="H16" s="20">
        <v>10</v>
      </c>
      <c r="I16" s="28">
        <v>1074.4000000000001</v>
      </c>
      <c r="J16" s="26">
        <v>8</v>
      </c>
      <c r="K16" s="28">
        <f t="shared" si="0"/>
        <v>8595.2000000000007</v>
      </c>
      <c r="L16" s="28">
        <f t="shared" si="1"/>
        <v>773.56799999999998</v>
      </c>
      <c r="M16" s="28">
        <v>600</v>
      </c>
      <c r="N16" s="30">
        <f t="shared" si="2"/>
        <v>9968.768</v>
      </c>
      <c r="O16" s="281"/>
      <c r="P16" s="281"/>
      <c r="Q16" s="281"/>
      <c r="R16" s="281"/>
      <c r="S16" s="353"/>
      <c r="T16" s="13"/>
    </row>
    <row r="17" spans="1:20" ht="31.7" customHeight="1">
      <c r="A17" s="26" t="s">
        <v>239</v>
      </c>
      <c r="B17" s="26" t="s">
        <v>87</v>
      </c>
      <c r="C17" s="26" t="s">
        <v>65</v>
      </c>
      <c r="D17" s="359" t="s">
        <v>252</v>
      </c>
      <c r="E17" s="744"/>
      <c r="F17" s="26" t="s">
        <v>75</v>
      </c>
      <c r="G17" s="26" t="s">
        <v>76</v>
      </c>
      <c r="H17" s="26">
        <v>10</v>
      </c>
      <c r="I17" s="231">
        <v>878.4</v>
      </c>
      <c r="J17" s="26">
        <v>8</v>
      </c>
      <c r="K17" s="358">
        <f t="shared" si="0"/>
        <v>7027.2</v>
      </c>
      <c r="L17" s="231">
        <f t="shared" si="1"/>
        <v>632.44799999999998</v>
      </c>
      <c r="M17" s="231">
        <v>500</v>
      </c>
      <c r="N17" s="363">
        <f t="shared" si="2"/>
        <v>8159.6480000000001</v>
      </c>
      <c r="O17" s="281"/>
      <c r="P17" s="281"/>
      <c r="Q17" s="281"/>
      <c r="R17" s="281"/>
      <c r="S17" s="353"/>
      <c r="T17" s="13"/>
    </row>
    <row r="18" spans="1:20" ht="31.7" customHeight="1">
      <c r="A18" s="26" t="s">
        <v>239</v>
      </c>
      <c r="B18" s="26" t="s">
        <v>87</v>
      </c>
      <c r="C18" s="26" t="s">
        <v>65</v>
      </c>
      <c r="D18" s="359" t="s">
        <v>253</v>
      </c>
      <c r="E18" s="744"/>
      <c r="F18" s="26" t="s">
        <v>75</v>
      </c>
      <c r="G18" s="26" t="s">
        <v>76</v>
      </c>
      <c r="H18" s="26">
        <v>3</v>
      </c>
      <c r="I18" s="231">
        <v>799.6</v>
      </c>
      <c r="J18" s="26">
        <v>10</v>
      </c>
      <c r="K18" s="358">
        <f t="shared" si="0"/>
        <v>7996</v>
      </c>
      <c r="L18" s="231">
        <f t="shared" si="1"/>
        <v>719.64</v>
      </c>
      <c r="M18" s="231">
        <v>500</v>
      </c>
      <c r="N18" s="363">
        <f t="shared" si="2"/>
        <v>9215.64</v>
      </c>
      <c r="O18" s="281"/>
      <c r="P18" s="281"/>
      <c r="Q18" s="281"/>
      <c r="R18" s="281"/>
      <c r="S18" s="353"/>
      <c r="T18" s="13"/>
    </row>
    <row r="19" spans="1:20" ht="31.7" customHeight="1">
      <c r="A19" s="116" t="s">
        <v>239</v>
      </c>
      <c r="B19" s="357" t="s">
        <v>87</v>
      </c>
      <c r="C19" s="357" t="s">
        <v>65</v>
      </c>
      <c r="D19" s="361" t="s">
        <v>254</v>
      </c>
      <c r="E19" s="744"/>
      <c r="F19" s="25" t="s">
        <v>75</v>
      </c>
      <c r="G19" s="25" t="s">
        <v>76</v>
      </c>
      <c r="H19" s="116">
        <v>10</v>
      </c>
      <c r="I19" s="364">
        <v>689</v>
      </c>
      <c r="J19" s="25">
        <v>2</v>
      </c>
      <c r="K19" s="364">
        <v>1378</v>
      </c>
      <c r="L19" s="364">
        <v>124.02</v>
      </c>
      <c r="M19" s="364">
        <v>200</v>
      </c>
      <c r="N19" s="365">
        <v>1702.02</v>
      </c>
      <c r="O19" s="281"/>
      <c r="P19" s="281"/>
      <c r="Q19" s="281"/>
      <c r="R19" s="281"/>
      <c r="S19" s="353"/>
      <c r="T19" s="13"/>
    </row>
    <row r="20" spans="1:20" ht="31.7" customHeight="1">
      <c r="A20" s="20" t="s">
        <v>239</v>
      </c>
      <c r="B20" s="51" t="s">
        <v>118</v>
      </c>
      <c r="C20" s="51" t="s">
        <v>65</v>
      </c>
      <c r="D20" s="13" t="s">
        <v>255</v>
      </c>
      <c r="E20" s="744"/>
      <c r="F20" s="26" t="s">
        <v>75</v>
      </c>
      <c r="G20" s="26" t="s">
        <v>76</v>
      </c>
      <c r="H20" s="20">
        <v>10</v>
      </c>
      <c r="I20" s="28">
        <v>8859.31</v>
      </c>
      <c r="J20" s="26">
        <v>2</v>
      </c>
      <c r="K20" s="28">
        <f>I20*J20</f>
        <v>17718.62</v>
      </c>
      <c r="L20" s="28">
        <f>K20*9%</f>
        <v>1594.6757999999998</v>
      </c>
      <c r="M20" s="28">
        <v>800</v>
      </c>
      <c r="N20" s="30">
        <f>K20+L20+M20</f>
        <v>20113.2958</v>
      </c>
      <c r="O20" s="281"/>
      <c r="P20" s="281"/>
      <c r="Q20" s="281"/>
      <c r="R20" s="281"/>
      <c r="S20" s="353"/>
      <c r="T20" s="13"/>
    </row>
    <row r="21" spans="1:20" ht="31.7" customHeight="1">
      <c r="A21" s="20" t="s">
        <v>239</v>
      </c>
      <c r="B21" s="51" t="s">
        <v>118</v>
      </c>
      <c r="C21" s="51" t="s">
        <v>65</v>
      </c>
      <c r="D21" s="13" t="s">
        <v>256</v>
      </c>
      <c r="E21" s="744"/>
      <c r="F21" s="26" t="s">
        <v>75</v>
      </c>
      <c r="G21" s="26" t="s">
        <v>76</v>
      </c>
      <c r="H21" s="20">
        <v>10</v>
      </c>
      <c r="I21" s="28">
        <v>550</v>
      </c>
      <c r="J21" s="26">
        <v>2</v>
      </c>
      <c r="K21" s="28">
        <f>I21*J21</f>
        <v>1100</v>
      </c>
      <c r="L21" s="28">
        <f>K21*9%</f>
        <v>99</v>
      </c>
      <c r="M21" s="28">
        <v>200</v>
      </c>
      <c r="N21" s="30">
        <f>K21+L21+M21</f>
        <v>1399</v>
      </c>
      <c r="O21" s="281"/>
      <c r="P21" s="281"/>
      <c r="Q21" s="281"/>
      <c r="R21" s="281"/>
      <c r="S21" s="353"/>
      <c r="T21" s="13"/>
    </row>
    <row r="22" spans="1:20" ht="31.7" customHeight="1">
      <c r="A22" s="20" t="s">
        <v>239</v>
      </c>
      <c r="B22" s="51" t="s">
        <v>118</v>
      </c>
      <c r="C22" s="51" t="s">
        <v>65</v>
      </c>
      <c r="D22" s="13" t="s">
        <v>257</v>
      </c>
      <c r="E22" s="744"/>
      <c r="F22" s="26" t="s">
        <v>75</v>
      </c>
      <c r="G22" s="26" t="s">
        <v>76</v>
      </c>
      <c r="H22" s="20">
        <v>10</v>
      </c>
      <c r="I22" s="28">
        <v>12000</v>
      </c>
      <c r="J22" s="26">
        <v>2</v>
      </c>
      <c r="K22" s="28">
        <f>I22*J22</f>
        <v>24000</v>
      </c>
      <c r="L22" s="28">
        <f>K22*9%</f>
        <v>2160</v>
      </c>
      <c r="M22" s="28">
        <v>2000</v>
      </c>
      <c r="N22" s="30">
        <f>K22+L22+M22</f>
        <v>28160</v>
      </c>
      <c r="O22" s="281"/>
      <c r="P22" s="281"/>
      <c r="Q22" s="281"/>
      <c r="R22" s="281"/>
      <c r="S22" s="353"/>
      <c r="T22" s="13"/>
    </row>
    <row r="23" spans="1:20" ht="31.7" customHeight="1">
      <c r="A23" s="20" t="s">
        <v>239</v>
      </c>
      <c r="B23" s="51" t="s">
        <v>118</v>
      </c>
      <c r="C23" s="51" t="s">
        <v>65</v>
      </c>
      <c r="D23" s="13" t="s">
        <v>258</v>
      </c>
      <c r="E23" s="744"/>
      <c r="F23" s="26" t="s">
        <v>75</v>
      </c>
      <c r="G23" s="26" t="s">
        <v>76</v>
      </c>
      <c r="H23" s="20">
        <v>10</v>
      </c>
      <c r="I23" s="28">
        <v>6500</v>
      </c>
      <c r="J23" s="26">
        <v>1</v>
      </c>
      <c r="K23" s="28">
        <f>I23*J23</f>
        <v>6500</v>
      </c>
      <c r="L23" s="28">
        <f>K23*9%</f>
        <v>585</v>
      </c>
      <c r="M23" s="28">
        <v>600</v>
      </c>
      <c r="N23" s="30">
        <f>K23+L23+M23</f>
        <v>7685</v>
      </c>
      <c r="O23" s="281"/>
      <c r="P23" s="281"/>
      <c r="Q23" s="281"/>
      <c r="R23" s="281"/>
      <c r="S23" s="282"/>
      <c r="T23" s="13"/>
    </row>
    <row r="24" spans="1:20" ht="31.7" customHeight="1">
      <c r="A24" s="20" t="s">
        <v>239</v>
      </c>
      <c r="B24" s="51" t="s">
        <v>118</v>
      </c>
      <c r="C24" s="51" t="s">
        <v>65</v>
      </c>
      <c r="D24" s="13" t="s">
        <v>259</v>
      </c>
      <c r="E24" s="744"/>
      <c r="F24" s="26" t="s">
        <v>68</v>
      </c>
      <c r="G24" s="26" t="s">
        <v>76</v>
      </c>
      <c r="H24" s="20">
        <v>20</v>
      </c>
      <c r="I24" s="28">
        <v>61588.78</v>
      </c>
      <c r="J24" s="26">
        <v>1</v>
      </c>
      <c r="K24" s="28">
        <f>I24*J24</f>
        <v>61588.78</v>
      </c>
      <c r="L24" s="28">
        <f>K24*9%</f>
        <v>5542.9901999999993</v>
      </c>
      <c r="M24" s="28">
        <v>5000</v>
      </c>
      <c r="N24" s="30">
        <f>K24+L24+M24</f>
        <v>72131.770199999999</v>
      </c>
      <c r="O24" s="281"/>
      <c r="P24" s="281"/>
      <c r="Q24" s="281"/>
      <c r="R24" s="281"/>
      <c r="S24" s="282"/>
      <c r="T24" s="13"/>
    </row>
    <row r="25" spans="1:20" ht="31.7" customHeight="1">
      <c r="A25" s="20" t="s">
        <v>239</v>
      </c>
      <c r="B25" s="357" t="s">
        <v>118</v>
      </c>
      <c r="C25" s="357" t="s">
        <v>65</v>
      </c>
      <c r="D25" s="361" t="s">
        <v>260</v>
      </c>
      <c r="E25" s="744"/>
      <c r="F25" s="25" t="s">
        <v>75</v>
      </c>
      <c r="G25" s="25" t="s">
        <v>76</v>
      </c>
      <c r="H25" s="116">
        <v>10</v>
      </c>
      <c r="I25" s="364">
        <v>1396.67</v>
      </c>
      <c r="J25" s="25">
        <v>1</v>
      </c>
      <c r="K25" s="364">
        <v>1396.67</v>
      </c>
      <c r="L25" s="364">
        <v>125.7</v>
      </c>
      <c r="M25" s="364">
        <v>400</v>
      </c>
      <c r="N25" s="365">
        <v>1922.37</v>
      </c>
      <c r="O25" s="281"/>
      <c r="P25" s="281"/>
      <c r="Q25" s="281"/>
      <c r="R25" s="281"/>
      <c r="S25" s="282"/>
      <c r="T25" s="13"/>
    </row>
    <row r="26" spans="1:20" ht="31.7" customHeight="1">
      <c r="A26" s="20" t="s">
        <v>239</v>
      </c>
      <c r="B26" s="51" t="s">
        <v>118</v>
      </c>
      <c r="C26" s="51" t="s">
        <v>65</v>
      </c>
      <c r="D26" s="13" t="s">
        <v>261</v>
      </c>
      <c r="E26" s="744"/>
      <c r="F26" s="26" t="s">
        <v>75</v>
      </c>
      <c r="G26" s="26" t="s">
        <v>76</v>
      </c>
      <c r="H26" s="20">
        <v>10</v>
      </c>
      <c r="I26" s="28">
        <v>5000</v>
      </c>
      <c r="J26" s="26">
        <v>1</v>
      </c>
      <c r="K26" s="28">
        <f>I26*J26</f>
        <v>5000</v>
      </c>
      <c r="L26" s="28">
        <f>K26*9%</f>
        <v>450</v>
      </c>
      <c r="M26" s="28">
        <v>500</v>
      </c>
      <c r="N26" s="30">
        <f>K26+L26+M26</f>
        <v>5950</v>
      </c>
      <c r="O26" s="281"/>
      <c r="P26" s="281"/>
      <c r="Q26" s="281"/>
      <c r="R26" s="281"/>
      <c r="S26" s="282"/>
      <c r="T26" s="13"/>
    </row>
    <row r="27" spans="1:20" ht="31.7" customHeight="1">
      <c r="A27" s="738" t="s">
        <v>262</v>
      </c>
      <c r="B27" s="738"/>
      <c r="C27" s="738"/>
      <c r="D27" s="738"/>
      <c r="E27" s="738"/>
      <c r="F27" s="738"/>
      <c r="G27" s="738"/>
      <c r="H27" s="738"/>
      <c r="I27" s="738"/>
      <c r="J27" s="738"/>
      <c r="K27" s="738"/>
      <c r="L27" s="738"/>
      <c r="M27" s="738"/>
      <c r="N27" s="366">
        <f>SUM(N6:N26)</f>
        <v>182239.86539999998</v>
      </c>
      <c r="O27" s="356"/>
      <c r="P27" s="356"/>
      <c r="Q27" s="356"/>
      <c r="R27" s="356"/>
      <c r="S27" s="355"/>
      <c r="T27" s="180"/>
    </row>
    <row r="28" spans="1:20" ht="102">
      <c r="A28" s="282" t="s">
        <v>263</v>
      </c>
      <c r="B28" s="285" t="s">
        <v>87</v>
      </c>
      <c r="C28" s="285" t="s">
        <v>65</v>
      </c>
      <c r="D28" s="283" t="s">
        <v>264</v>
      </c>
      <c r="E28" s="283" t="s">
        <v>265</v>
      </c>
      <c r="F28" s="281" t="s">
        <v>75</v>
      </c>
      <c r="G28" s="281" t="s">
        <v>69</v>
      </c>
      <c r="H28" s="281" t="s">
        <v>266</v>
      </c>
      <c r="I28" s="280"/>
      <c r="J28" s="282"/>
      <c r="K28" s="280">
        <v>6000</v>
      </c>
      <c r="L28" s="279">
        <f>K28*0.09</f>
        <v>540</v>
      </c>
      <c r="M28" s="279">
        <f>K28*0.02</f>
        <v>120</v>
      </c>
      <c r="N28" s="317">
        <f t="shared" ref="N28:N33" si="3">SUM(K28:M28)</f>
        <v>6660</v>
      </c>
      <c r="O28" s="354" t="s">
        <v>267</v>
      </c>
      <c r="P28" s="281"/>
      <c r="Q28" s="281" t="s">
        <v>70</v>
      </c>
      <c r="R28" s="281" t="s">
        <v>70</v>
      </c>
      <c r="S28" s="353"/>
      <c r="T28" s="13"/>
    </row>
    <row r="29" spans="1:20" ht="51">
      <c r="A29" s="282" t="s">
        <v>263</v>
      </c>
      <c r="B29" s="285" t="s">
        <v>87</v>
      </c>
      <c r="C29" s="285" t="s">
        <v>268</v>
      </c>
      <c r="D29" s="283" t="s">
        <v>269</v>
      </c>
      <c r="E29" s="283" t="s">
        <v>265</v>
      </c>
      <c r="F29" s="281" t="s">
        <v>75</v>
      </c>
      <c r="G29" s="281" t="s">
        <v>69</v>
      </c>
      <c r="H29" s="281" t="s">
        <v>266</v>
      </c>
      <c r="I29" s="280"/>
      <c r="J29" s="282"/>
      <c r="K29" s="280">
        <v>2000</v>
      </c>
      <c r="L29" s="279">
        <f>K29*0.09</f>
        <v>180</v>
      </c>
      <c r="M29" s="279">
        <v>0</v>
      </c>
      <c r="N29" s="317">
        <f t="shared" si="3"/>
        <v>2180</v>
      </c>
      <c r="O29" s="246"/>
      <c r="P29" s="246"/>
      <c r="Q29" s="246" t="s">
        <v>70</v>
      </c>
      <c r="R29" s="246" t="s">
        <v>70</v>
      </c>
      <c r="S29" s="246"/>
      <c r="T29" s="245"/>
    </row>
    <row r="30" spans="1:20" ht="51">
      <c r="A30" s="282" t="s">
        <v>263</v>
      </c>
      <c r="B30" s="285" t="s">
        <v>87</v>
      </c>
      <c r="C30" s="285" t="s">
        <v>65</v>
      </c>
      <c r="D30" s="283" t="s">
        <v>270</v>
      </c>
      <c r="E30" s="283" t="s">
        <v>265</v>
      </c>
      <c r="F30" s="281" t="s">
        <v>75</v>
      </c>
      <c r="G30" s="281" t="s">
        <v>69</v>
      </c>
      <c r="H30" s="281" t="s">
        <v>266</v>
      </c>
      <c r="I30" s="280"/>
      <c r="J30" s="282"/>
      <c r="K30" s="280">
        <v>1500</v>
      </c>
      <c r="L30" s="279">
        <f>K30*0.09</f>
        <v>135</v>
      </c>
      <c r="M30" s="279">
        <f>K30*0.02</f>
        <v>30</v>
      </c>
      <c r="N30" s="317">
        <f t="shared" si="3"/>
        <v>1665</v>
      </c>
      <c r="O30" s="246"/>
      <c r="P30" s="246"/>
      <c r="Q30" s="246" t="s">
        <v>70</v>
      </c>
      <c r="R30" s="246" t="s">
        <v>70</v>
      </c>
      <c r="S30" s="246"/>
      <c r="T30" s="245"/>
    </row>
    <row r="31" spans="1:20" ht="51">
      <c r="A31" s="282" t="s">
        <v>263</v>
      </c>
      <c r="B31" s="285" t="s">
        <v>87</v>
      </c>
      <c r="C31" s="285" t="s">
        <v>65</v>
      </c>
      <c r="D31" s="283" t="s">
        <v>271</v>
      </c>
      <c r="E31" s="283" t="s">
        <v>265</v>
      </c>
      <c r="F31" s="281" t="s">
        <v>75</v>
      </c>
      <c r="G31" s="281" t="s">
        <v>69</v>
      </c>
      <c r="H31" s="281" t="s">
        <v>272</v>
      </c>
      <c r="I31" s="280"/>
      <c r="J31" s="282"/>
      <c r="K31" s="280">
        <v>1000</v>
      </c>
      <c r="L31" s="279">
        <f>K31*0.09</f>
        <v>90</v>
      </c>
      <c r="M31" s="279">
        <f>K31*0.02</f>
        <v>20</v>
      </c>
      <c r="N31" s="317">
        <f t="shared" si="3"/>
        <v>1110</v>
      </c>
      <c r="O31" s="246"/>
      <c r="P31" s="246"/>
      <c r="Q31" s="246" t="s">
        <v>70</v>
      </c>
      <c r="R31" s="246" t="s">
        <v>70</v>
      </c>
      <c r="S31" s="246"/>
      <c r="T31" s="245"/>
    </row>
    <row r="32" spans="1:20" ht="51">
      <c r="A32" s="282" t="s">
        <v>263</v>
      </c>
      <c r="B32" s="285" t="s">
        <v>64</v>
      </c>
      <c r="C32" s="285" t="s">
        <v>65</v>
      </c>
      <c r="D32" s="283" t="s">
        <v>273</v>
      </c>
      <c r="E32" s="283" t="s">
        <v>265</v>
      </c>
      <c r="F32" s="281" t="s">
        <v>75</v>
      </c>
      <c r="G32" s="281" t="s">
        <v>69</v>
      </c>
      <c r="H32" s="281" t="s">
        <v>274</v>
      </c>
      <c r="I32" s="280"/>
      <c r="J32" s="282"/>
      <c r="K32" s="280">
        <v>1250</v>
      </c>
      <c r="L32" s="279">
        <f>K32*0.09</f>
        <v>112.5</v>
      </c>
      <c r="M32" s="279">
        <f>K32*0.02</f>
        <v>25</v>
      </c>
      <c r="N32" s="317">
        <f t="shared" si="3"/>
        <v>1387.5</v>
      </c>
      <c r="O32" s="246"/>
      <c r="P32" s="246"/>
      <c r="Q32" s="246" t="s">
        <v>70</v>
      </c>
      <c r="R32" s="246" t="s">
        <v>70</v>
      </c>
      <c r="S32" s="246"/>
      <c r="T32" s="245"/>
    </row>
    <row r="33" spans="1:20" customFormat="1" ht="51">
      <c r="A33" s="384" t="s">
        <v>263</v>
      </c>
      <c r="B33" s="385" t="s">
        <v>87</v>
      </c>
      <c r="C33" s="385" t="s">
        <v>275</v>
      </c>
      <c r="D33" s="386" t="s">
        <v>276</v>
      </c>
      <c r="E33" s="387" t="s">
        <v>265</v>
      </c>
      <c r="F33" s="388" t="s">
        <v>75</v>
      </c>
      <c r="G33" s="388" t="s">
        <v>69</v>
      </c>
      <c r="H33" s="384" t="s">
        <v>160</v>
      </c>
      <c r="I33" s="389"/>
      <c r="J33" s="388"/>
      <c r="K33" s="389">
        <v>1500</v>
      </c>
      <c r="L33" s="390">
        <v>0</v>
      </c>
      <c r="M33" s="390">
        <v>0</v>
      </c>
      <c r="N33" s="391">
        <f t="shared" si="3"/>
        <v>1500</v>
      </c>
      <c r="O33" s="383"/>
      <c r="P33" s="383"/>
      <c r="Q33" s="383" t="s">
        <v>70</v>
      </c>
      <c r="R33" s="383" t="s">
        <v>70</v>
      </c>
      <c r="S33" s="383"/>
      <c r="T33" s="383"/>
    </row>
    <row r="34" spans="1:20" ht="24.95" customHeight="1">
      <c r="A34" s="738" t="s">
        <v>262</v>
      </c>
      <c r="B34" s="738"/>
      <c r="C34" s="738"/>
      <c r="D34" s="738"/>
      <c r="E34" s="738"/>
      <c r="F34" s="738"/>
      <c r="G34" s="738"/>
      <c r="H34" s="738"/>
      <c r="I34" s="738"/>
      <c r="J34" s="738"/>
      <c r="K34" s="738"/>
      <c r="L34" s="738"/>
      <c r="M34" s="738"/>
      <c r="N34" s="367">
        <f>SUM(N28:N32)</f>
        <v>13002.5</v>
      </c>
      <c r="O34" s="246"/>
      <c r="P34" s="246"/>
      <c r="Q34" s="246"/>
      <c r="R34" s="246"/>
      <c r="S34" s="246"/>
      <c r="T34" s="245"/>
    </row>
    <row r="35" spans="1:20" ht="32.1" customHeight="1">
      <c r="A35" s="282" t="s">
        <v>277</v>
      </c>
      <c r="B35" s="285" t="s">
        <v>64</v>
      </c>
      <c r="C35" s="285" t="s">
        <v>65</v>
      </c>
      <c r="D35" s="283" t="s">
        <v>278</v>
      </c>
      <c r="E35" s="741" t="s">
        <v>279</v>
      </c>
      <c r="F35" s="281" t="s">
        <v>75</v>
      </c>
      <c r="G35" s="281" t="s">
        <v>163</v>
      </c>
      <c r="H35" s="281">
        <v>10</v>
      </c>
      <c r="I35" s="280">
        <v>4000</v>
      </c>
      <c r="J35" s="282">
        <v>1</v>
      </c>
      <c r="K35" s="280">
        <v>4000</v>
      </c>
      <c r="L35" s="280">
        <v>360</v>
      </c>
      <c r="M35" s="280">
        <v>200</v>
      </c>
      <c r="N35" s="299">
        <v>4560</v>
      </c>
      <c r="O35" s="246"/>
      <c r="P35" s="246"/>
      <c r="Q35" s="246" t="s">
        <v>70</v>
      </c>
      <c r="R35" s="246" t="s">
        <v>70</v>
      </c>
      <c r="S35" s="246"/>
      <c r="T35" s="245"/>
    </row>
    <row r="36" spans="1:20" ht="33.950000000000003" customHeight="1">
      <c r="A36" s="282" t="s">
        <v>277</v>
      </c>
      <c r="B36" s="285" t="s">
        <v>64</v>
      </c>
      <c r="C36" s="285" t="s">
        <v>65</v>
      </c>
      <c r="D36" s="283" t="s">
        <v>280</v>
      </c>
      <c r="E36" s="742"/>
      <c r="F36" s="281" t="s">
        <v>75</v>
      </c>
      <c r="G36" s="281" t="s">
        <v>281</v>
      </c>
      <c r="H36" s="281"/>
      <c r="I36" s="280">
        <v>8000</v>
      </c>
      <c r="J36" s="282"/>
      <c r="K36" s="280">
        <v>8000</v>
      </c>
      <c r="L36" s="280">
        <v>720</v>
      </c>
      <c r="M36" s="280">
        <v>250</v>
      </c>
      <c r="N36" s="299">
        <v>8970</v>
      </c>
      <c r="O36" s="246"/>
      <c r="P36" s="246"/>
      <c r="Q36" s="246" t="s">
        <v>70</v>
      </c>
      <c r="R36" s="246" t="s">
        <v>70</v>
      </c>
      <c r="S36" s="246"/>
      <c r="T36" s="245"/>
    </row>
    <row r="37" spans="1:20" ht="33.950000000000003" customHeight="1">
      <c r="A37" s="282" t="s">
        <v>282</v>
      </c>
      <c r="B37" s="285" t="s">
        <v>64</v>
      </c>
      <c r="C37" s="285" t="s">
        <v>65</v>
      </c>
      <c r="D37" s="284" t="s">
        <v>283</v>
      </c>
      <c r="E37" s="742"/>
      <c r="F37" s="281" t="s">
        <v>75</v>
      </c>
      <c r="G37" s="281" t="s">
        <v>163</v>
      </c>
      <c r="H37" s="282">
        <v>10</v>
      </c>
      <c r="I37" s="280">
        <v>400</v>
      </c>
      <c r="J37" s="281">
        <v>2</v>
      </c>
      <c r="K37" s="280">
        <v>800</v>
      </c>
      <c r="L37" s="280">
        <v>72</v>
      </c>
      <c r="M37" s="280">
        <v>50</v>
      </c>
      <c r="N37" s="299">
        <v>922</v>
      </c>
      <c r="O37" s="246"/>
      <c r="P37" s="246"/>
      <c r="Q37" s="246" t="s">
        <v>70</v>
      </c>
      <c r="R37" s="246" t="s">
        <v>70</v>
      </c>
      <c r="S37" s="246"/>
      <c r="T37" s="245"/>
    </row>
    <row r="38" spans="1:20" ht="17.100000000000001">
      <c r="A38" s="282" t="s">
        <v>277</v>
      </c>
      <c r="B38" s="285" t="s">
        <v>64</v>
      </c>
      <c r="C38" s="285" t="s">
        <v>65</v>
      </c>
      <c r="D38" s="284" t="s">
        <v>284</v>
      </c>
      <c r="E38" s="742"/>
      <c r="F38" s="281" t="s">
        <v>75</v>
      </c>
      <c r="G38" s="281" t="s">
        <v>163</v>
      </c>
      <c r="H38" s="282">
        <v>10</v>
      </c>
      <c r="I38" s="280">
        <v>900</v>
      </c>
      <c r="J38" s="281">
        <v>2</v>
      </c>
      <c r="K38" s="280">
        <v>1800</v>
      </c>
      <c r="L38" s="280">
        <v>162</v>
      </c>
      <c r="M38" s="280">
        <v>60</v>
      </c>
      <c r="N38" s="299">
        <v>2022</v>
      </c>
      <c r="O38" s="246"/>
      <c r="P38" s="246"/>
      <c r="Q38" s="246" t="s">
        <v>70</v>
      </c>
      <c r="R38" s="246" t="s">
        <v>70</v>
      </c>
      <c r="S38" s="246"/>
      <c r="T38" s="245"/>
    </row>
    <row r="39" spans="1:20" ht="17.100000000000001">
      <c r="A39" s="282" t="s">
        <v>277</v>
      </c>
      <c r="B39" s="285" t="s">
        <v>64</v>
      </c>
      <c r="C39" s="285" t="s">
        <v>65</v>
      </c>
      <c r="D39" s="284" t="s">
        <v>285</v>
      </c>
      <c r="E39" s="742"/>
      <c r="F39" s="281" t="s">
        <v>75</v>
      </c>
      <c r="G39" s="281" t="s">
        <v>76</v>
      </c>
      <c r="H39" s="282">
        <v>10</v>
      </c>
      <c r="I39" s="280">
        <v>400</v>
      </c>
      <c r="J39" s="281">
        <v>1</v>
      </c>
      <c r="K39" s="280">
        <v>400</v>
      </c>
      <c r="L39" s="280">
        <v>36</v>
      </c>
      <c r="M39" s="280">
        <v>40</v>
      </c>
      <c r="N39" s="299">
        <v>476</v>
      </c>
      <c r="O39" s="246"/>
      <c r="P39" s="246"/>
      <c r="Q39" s="246" t="s">
        <v>70</v>
      </c>
      <c r="R39" s="246" t="s">
        <v>70</v>
      </c>
      <c r="S39" s="246"/>
      <c r="T39" s="245"/>
    </row>
    <row r="40" spans="1:20" ht="17.100000000000001">
      <c r="A40" s="282" t="s">
        <v>277</v>
      </c>
      <c r="B40" s="285" t="s">
        <v>286</v>
      </c>
      <c r="C40" s="285" t="s">
        <v>65</v>
      </c>
      <c r="D40" s="284" t="s">
        <v>287</v>
      </c>
      <c r="E40" s="742"/>
      <c r="F40" s="281" t="s">
        <v>75</v>
      </c>
      <c r="G40" s="281" t="s">
        <v>163</v>
      </c>
      <c r="H40" s="282">
        <v>10</v>
      </c>
      <c r="I40" s="280">
        <v>2500</v>
      </c>
      <c r="J40" s="281">
        <v>1</v>
      </c>
      <c r="K40" s="280">
        <v>2500</v>
      </c>
      <c r="L40" s="280">
        <v>225</v>
      </c>
      <c r="M40" s="280">
        <v>80</v>
      </c>
      <c r="N40" s="299">
        <v>2805</v>
      </c>
      <c r="O40" s="246"/>
      <c r="P40" s="246"/>
      <c r="Q40" s="246" t="s">
        <v>70</v>
      </c>
      <c r="R40" s="246" t="s">
        <v>70</v>
      </c>
      <c r="S40" s="246"/>
      <c r="T40" s="245"/>
    </row>
    <row r="41" spans="1:20" ht="17.100000000000001">
      <c r="A41" s="282" t="s">
        <v>277</v>
      </c>
      <c r="B41" s="285" t="s">
        <v>286</v>
      </c>
      <c r="C41" s="285" t="s">
        <v>65</v>
      </c>
      <c r="D41" s="284" t="s">
        <v>288</v>
      </c>
      <c r="E41" s="742"/>
      <c r="F41" s="281" t="s">
        <v>75</v>
      </c>
      <c r="G41" s="281" t="s">
        <v>163</v>
      </c>
      <c r="H41" s="282">
        <v>10</v>
      </c>
      <c r="I41" s="280">
        <v>35</v>
      </c>
      <c r="J41" s="281">
        <v>20</v>
      </c>
      <c r="K41" s="280">
        <v>700</v>
      </c>
      <c r="L41" s="280">
        <v>63</v>
      </c>
      <c r="M41" s="280">
        <v>40</v>
      </c>
      <c r="N41" s="299">
        <v>803</v>
      </c>
      <c r="O41" s="246"/>
      <c r="P41" s="246"/>
      <c r="Q41" s="246" t="s">
        <v>70</v>
      </c>
      <c r="R41" s="246" t="s">
        <v>70</v>
      </c>
      <c r="S41" s="246"/>
      <c r="T41" s="245"/>
    </row>
    <row r="42" spans="1:20" ht="17.100000000000001">
      <c r="A42" s="282" t="s">
        <v>277</v>
      </c>
      <c r="B42" s="285" t="s">
        <v>286</v>
      </c>
      <c r="C42" s="285" t="s">
        <v>65</v>
      </c>
      <c r="D42" s="284" t="s">
        <v>289</v>
      </c>
      <c r="E42" s="742"/>
      <c r="F42" s="281" t="s">
        <v>75</v>
      </c>
      <c r="G42" s="281" t="s">
        <v>163</v>
      </c>
      <c r="H42" s="282">
        <v>10</v>
      </c>
      <c r="I42" s="280">
        <v>45</v>
      </c>
      <c r="J42" s="281">
        <v>10</v>
      </c>
      <c r="K42" s="280">
        <v>450</v>
      </c>
      <c r="L42" s="280">
        <v>40.5</v>
      </c>
      <c r="M42" s="280">
        <v>20</v>
      </c>
      <c r="N42" s="299">
        <v>510.5</v>
      </c>
      <c r="O42" s="246"/>
      <c r="P42" s="246"/>
      <c r="Q42" s="246"/>
      <c r="R42" s="246"/>
      <c r="S42" s="246"/>
      <c r="T42" s="245"/>
    </row>
    <row r="43" spans="1:20" ht="17.100000000000001">
      <c r="A43" s="282" t="s">
        <v>277</v>
      </c>
      <c r="B43" s="285" t="s">
        <v>286</v>
      </c>
      <c r="C43" s="285" t="s">
        <v>65</v>
      </c>
      <c r="D43" s="284" t="s">
        <v>290</v>
      </c>
      <c r="E43" s="742"/>
      <c r="F43" s="281" t="s">
        <v>75</v>
      </c>
      <c r="G43" s="281" t="s">
        <v>163</v>
      </c>
      <c r="H43" s="282">
        <v>10</v>
      </c>
      <c r="I43" s="280">
        <v>600</v>
      </c>
      <c r="J43" s="281">
        <v>1</v>
      </c>
      <c r="K43" s="280">
        <v>600</v>
      </c>
      <c r="L43" s="280">
        <v>54</v>
      </c>
      <c r="M43" s="280">
        <v>30</v>
      </c>
      <c r="N43" s="299">
        <v>684</v>
      </c>
      <c r="O43" s="246"/>
      <c r="P43" s="246"/>
      <c r="Q43" s="246" t="s">
        <v>70</v>
      </c>
      <c r="R43" s="246" t="s">
        <v>70</v>
      </c>
      <c r="S43" s="246"/>
      <c r="T43" s="245"/>
    </row>
    <row r="44" spans="1:20" customFormat="1" ht="33" customHeight="1">
      <c r="A44" s="282" t="s">
        <v>277</v>
      </c>
      <c r="B44" s="285" t="s">
        <v>64</v>
      </c>
      <c r="C44" s="285" t="s">
        <v>147</v>
      </c>
      <c r="D44" s="283" t="s">
        <v>291</v>
      </c>
      <c r="E44" s="742"/>
      <c r="F44" s="281" t="s">
        <v>75</v>
      </c>
      <c r="G44" s="281" t="s">
        <v>281</v>
      </c>
      <c r="H44" s="281"/>
      <c r="I44" s="280">
        <v>12960</v>
      </c>
      <c r="J44" s="282">
        <v>3</v>
      </c>
      <c r="K44" s="280">
        <v>38880</v>
      </c>
      <c r="L44" s="280">
        <v>2916</v>
      </c>
      <c r="M44" s="280"/>
      <c r="N44" s="299">
        <v>41796</v>
      </c>
      <c r="O44" s="234"/>
      <c r="P44" s="234"/>
      <c r="Q44" s="234" t="s">
        <v>70</v>
      </c>
      <c r="R44" s="234" t="s">
        <v>70</v>
      </c>
      <c r="S44" s="234"/>
      <c r="T44" s="234"/>
    </row>
    <row r="45" spans="1:20" customFormat="1" ht="33.950000000000003">
      <c r="A45" s="282" t="s">
        <v>277</v>
      </c>
      <c r="B45" s="285" t="s">
        <v>64</v>
      </c>
      <c r="C45" s="285" t="s">
        <v>147</v>
      </c>
      <c r="D45" s="283" t="s">
        <v>292</v>
      </c>
      <c r="E45" s="742"/>
      <c r="F45" s="281" t="s">
        <v>75</v>
      </c>
      <c r="G45" s="281" t="s">
        <v>281</v>
      </c>
      <c r="H45" s="281"/>
      <c r="I45" s="280">
        <v>10800</v>
      </c>
      <c r="J45" s="282">
        <v>4</v>
      </c>
      <c r="K45" s="280">
        <v>43200</v>
      </c>
      <c r="L45" s="280">
        <v>3888</v>
      </c>
      <c r="M45" s="280"/>
      <c r="N45" s="299">
        <v>47088</v>
      </c>
      <c r="O45" s="234"/>
      <c r="P45" s="234"/>
      <c r="Q45" s="234" t="s">
        <v>70</v>
      </c>
      <c r="R45" s="234" t="s">
        <v>70</v>
      </c>
      <c r="S45" s="234"/>
      <c r="T45" s="234"/>
    </row>
    <row r="46" spans="1:20" customFormat="1" ht="17.100000000000001">
      <c r="A46" s="282" t="s">
        <v>277</v>
      </c>
      <c r="B46" s="285" t="s">
        <v>64</v>
      </c>
      <c r="C46" s="285" t="s">
        <v>147</v>
      </c>
      <c r="D46" s="283" t="s">
        <v>293</v>
      </c>
      <c r="E46" s="743"/>
      <c r="F46" s="281" t="s">
        <v>75</v>
      </c>
      <c r="G46" s="281" t="s">
        <v>281</v>
      </c>
      <c r="H46" s="281"/>
      <c r="I46" s="280">
        <v>4000</v>
      </c>
      <c r="J46" s="282">
        <v>1</v>
      </c>
      <c r="K46" s="280">
        <v>4000</v>
      </c>
      <c r="L46" s="280">
        <v>360</v>
      </c>
      <c r="M46" s="280"/>
      <c r="N46" s="299">
        <v>4360</v>
      </c>
      <c r="O46" s="234"/>
      <c r="P46" s="234"/>
      <c r="Q46" s="234" t="s">
        <v>70</v>
      </c>
      <c r="R46" s="234" t="s">
        <v>70</v>
      </c>
      <c r="S46" s="234"/>
      <c r="T46" s="234"/>
    </row>
    <row r="47" spans="1:20" customFormat="1" ht="255.95" customHeight="1">
      <c r="A47" s="380" t="s">
        <v>277</v>
      </c>
      <c r="B47" s="273" t="s">
        <v>286</v>
      </c>
      <c r="C47" s="273" t="s">
        <v>294</v>
      </c>
      <c r="D47" s="272" t="s">
        <v>295</v>
      </c>
      <c r="E47" s="740" t="s">
        <v>279</v>
      </c>
      <c r="F47" s="271" t="s">
        <v>68</v>
      </c>
      <c r="G47" s="271" t="s">
        <v>69</v>
      </c>
      <c r="H47" s="270" t="s">
        <v>281</v>
      </c>
      <c r="I47" s="269">
        <v>150000</v>
      </c>
      <c r="J47" s="268">
        <v>1</v>
      </c>
      <c r="K47" s="267">
        <f>I47*J47</f>
        <v>150000</v>
      </c>
      <c r="L47" s="267">
        <f>K47*0.09</f>
        <v>13500</v>
      </c>
      <c r="M47" s="266" t="s">
        <v>281</v>
      </c>
      <c r="N47" s="265">
        <f>SUM(K47:L47)</f>
        <v>163500</v>
      </c>
      <c r="O47" s="234"/>
      <c r="P47" s="234"/>
      <c r="Q47" s="234"/>
      <c r="R47" s="234"/>
      <c r="S47" s="234"/>
      <c r="T47" s="234"/>
    </row>
    <row r="48" spans="1:20" customFormat="1" ht="17.100000000000001">
      <c r="A48" s="380" t="s">
        <v>277</v>
      </c>
      <c r="B48" s="270" t="s">
        <v>286</v>
      </c>
      <c r="C48" s="270" t="s">
        <v>296</v>
      </c>
      <c r="D48" s="278" t="s">
        <v>297</v>
      </c>
      <c r="E48" s="740"/>
      <c r="F48" s="270" t="s">
        <v>298</v>
      </c>
      <c r="G48" s="270" t="s">
        <v>69</v>
      </c>
      <c r="H48" s="270" t="s">
        <v>281</v>
      </c>
      <c r="I48" s="270">
        <v>500</v>
      </c>
      <c r="J48" s="270">
        <v>3</v>
      </c>
      <c r="K48" s="277">
        <f>(I48*J48)</f>
        <v>1500</v>
      </c>
      <c r="L48" s="276">
        <f>(K48*0.9)</f>
        <v>1350</v>
      </c>
      <c r="M48" s="270" t="s">
        <v>281</v>
      </c>
      <c r="N48" s="275">
        <f>SUM(K48:L48)</f>
        <v>2850</v>
      </c>
      <c r="O48" s="234"/>
      <c r="P48" s="234"/>
      <c r="Q48" s="234"/>
      <c r="R48" s="234"/>
      <c r="S48" s="234"/>
      <c r="T48" s="234"/>
    </row>
    <row r="49" spans="1:20" ht="26.1" customHeight="1">
      <c r="A49" s="739" t="s">
        <v>299</v>
      </c>
      <c r="B49" s="739"/>
      <c r="C49" s="739"/>
      <c r="D49" s="739"/>
      <c r="E49" s="739"/>
      <c r="F49" s="739"/>
      <c r="G49" s="739"/>
      <c r="H49" s="739"/>
      <c r="I49" s="739"/>
      <c r="J49" s="739"/>
      <c r="K49" s="739"/>
      <c r="L49" s="739"/>
      <c r="M49" s="739"/>
      <c r="N49" s="367">
        <f>SUM(N35:N43)</f>
        <v>21752.5</v>
      </c>
      <c r="O49" s="246"/>
      <c r="P49" s="246"/>
      <c r="Q49" s="246"/>
      <c r="R49" s="246"/>
      <c r="S49" s="246"/>
      <c r="T49" s="245"/>
    </row>
    <row r="50" spans="1:20" ht="141.94999999999999" customHeight="1">
      <c r="A50" s="246" t="s">
        <v>300</v>
      </c>
      <c r="B50" s="737" t="s">
        <v>301</v>
      </c>
      <c r="C50" s="737"/>
      <c r="D50" s="737"/>
      <c r="E50" s="737"/>
      <c r="F50" s="737"/>
      <c r="G50" s="737"/>
      <c r="H50" s="737"/>
      <c r="I50" s="737"/>
      <c r="J50" s="737"/>
      <c r="K50" s="737"/>
      <c r="L50" s="737"/>
      <c r="M50" s="737"/>
      <c r="N50" s="737"/>
      <c r="O50" s="246"/>
      <c r="P50" s="246"/>
      <c r="Q50" s="246"/>
      <c r="R50" s="246"/>
      <c r="S50" s="246"/>
      <c r="T50" s="245"/>
    </row>
    <row r="51" spans="1:20" ht="68.099999999999994">
      <c r="A51" s="302" t="s">
        <v>15</v>
      </c>
      <c r="B51" s="302" t="s">
        <v>64</v>
      </c>
      <c r="C51" s="305" t="s">
        <v>302</v>
      </c>
      <c r="D51" s="304" t="s">
        <v>303</v>
      </c>
      <c r="E51" s="304" t="s">
        <v>304</v>
      </c>
      <c r="F51" s="303" t="s">
        <v>298</v>
      </c>
      <c r="G51" s="303" t="s">
        <v>281</v>
      </c>
      <c r="H51" s="308" t="s">
        <v>305</v>
      </c>
      <c r="I51" s="307">
        <v>3000</v>
      </c>
      <c r="J51" s="301">
        <v>1</v>
      </c>
      <c r="K51" s="347">
        <f t="shared" ref="K51:K65" si="4">I51*J51</f>
        <v>3000</v>
      </c>
      <c r="L51" s="347">
        <f t="shared" ref="L51:L78" si="5">K51*0.09</f>
        <v>270</v>
      </c>
      <c r="M51" s="350" t="s">
        <v>281</v>
      </c>
      <c r="N51" s="300">
        <f>SUM(K51:L51)</f>
        <v>3270</v>
      </c>
      <c r="O51" s="246"/>
      <c r="P51" s="246"/>
      <c r="Q51" s="246"/>
      <c r="R51" s="246"/>
      <c r="S51" s="246"/>
      <c r="T51" s="245"/>
    </row>
    <row r="52" spans="1:20" ht="51">
      <c r="A52" s="306" t="s">
        <v>300</v>
      </c>
      <c r="B52" s="305" t="s">
        <v>286</v>
      </c>
      <c r="C52" s="305" t="s">
        <v>302</v>
      </c>
      <c r="D52" s="304" t="s">
        <v>306</v>
      </c>
      <c r="E52" s="304" t="s">
        <v>307</v>
      </c>
      <c r="F52" s="303" t="s">
        <v>298</v>
      </c>
      <c r="G52" s="303" t="s">
        <v>69</v>
      </c>
      <c r="H52" s="316">
        <v>5</v>
      </c>
      <c r="I52" s="307">
        <v>5000</v>
      </c>
      <c r="J52" s="301">
        <v>1</v>
      </c>
      <c r="K52" s="347">
        <f t="shared" si="4"/>
        <v>5000</v>
      </c>
      <c r="L52" s="347">
        <f t="shared" si="5"/>
        <v>450</v>
      </c>
      <c r="M52" s="349" t="s">
        <v>281</v>
      </c>
      <c r="N52" s="300">
        <f>SUM(K52:L52)</f>
        <v>5450</v>
      </c>
      <c r="O52" s="246"/>
      <c r="P52" s="246"/>
      <c r="Q52" s="246"/>
      <c r="R52" s="246"/>
      <c r="S52" s="246"/>
      <c r="T52" s="245"/>
    </row>
    <row r="53" spans="1:20" ht="33.950000000000003">
      <c r="A53" s="306" t="s">
        <v>15</v>
      </c>
      <c r="B53" s="305" t="s">
        <v>64</v>
      </c>
      <c r="C53" s="305" t="s">
        <v>308</v>
      </c>
      <c r="D53" s="304" t="s">
        <v>309</v>
      </c>
      <c r="E53" s="304" t="s">
        <v>310</v>
      </c>
      <c r="F53" s="303" t="s">
        <v>298</v>
      </c>
      <c r="G53" s="303" t="s">
        <v>69</v>
      </c>
      <c r="H53" s="308" t="s">
        <v>305</v>
      </c>
      <c r="I53" s="348">
        <v>40000</v>
      </c>
      <c r="J53" s="301">
        <v>1</v>
      </c>
      <c r="K53" s="347">
        <f t="shared" si="4"/>
        <v>40000</v>
      </c>
      <c r="L53" s="347">
        <f t="shared" si="5"/>
        <v>3600</v>
      </c>
      <c r="M53" s="349" t="s">
        <v>281</v>
      </c>
      <c r="N53" s="300">
        <f>SUM(K53:L53)</f>
        <v>43600</v>
      </c>
      <c r="O53" s="246"/>
      <c r="P53" s="246"/>
      <c r="Q53" s="246"/>
      <c r="R53" s="246"/>
      <c r="S53" s="246"/>
      <c r="T53" s="245"/>
    </row>
    <row r="54" spans="1:20" ht="51">
      <c r="A54" s="306" t="s">
        <v>15</v>
      </c>
      <c r="B54" s="305" t="s">
        <v>64</v>
      </c>
      <c r="C54" s="285" t="s">
        <v>65</v>
      </c>
      <c r="D54" s="304" t="s">
        <v>311</v>
      </c>
      <c r="E54" s="304" t="s">
        <v>312</v>
      </c>
      <c r="F54" s="303" t="s">
        <v>298</v>
      </c>
      <c r="G54" s="303" t="s">
        <v>69</v>
      </c>
      <c r="H54" s="308" t="s">
        <v>281</v>
      </c>
      <c r="I54" s="307">
        <v>8000</v>
      </c>
      <c r="J54" s="301">
        <v>1</v>
      </c>
      <c r="K54" s="347">
        <f t="shared" si="4"/>
        <v>8000</v>
      </c>
      <c r="L54" s="347">
        <f t="shared" si="5"/>
        <v>720</v>
      </c>
      <c r="M54" s="302" t="s">
        <v>281</v>
      </c>
      <c r="N54" s="310">
        <f>SUM(K54:L54)</f>
        <v>8720</v>
      </c>
      <c r="O54" s="246"/>
      <c r="P54" s="246"/>
      <c r="Q54" s="246" t="s">
        <v>70</v>
      </c>
      <c r="R54" s="246"/>
      <c r="S54" s="246"/>
      <c r="T54" s="245"/>
    </row>
    <row r="55" spans="1:20" ht="33.950000000000003">
      <c r="A55" s="306" t="s">
        <v>300</v>
      </c>
      <c r="B55" s="305" t="s">
        <v>286</v>
      </c>
      <c r="C55" s="305" t="s">
        <v>294</v>
      </c>
      <c r="D55" s="304" t="s">
        <v>313</v>
      </c>
      <c r="E55" s="304" t="s">
        <v>314</v>
      </c>
      <c r="F55" s="303" t="s">
        <v>298</v>
      </c>
      <c r="G55" s="303" t="s">
        <v>69</v>
      </c>
      <c r="H55" s="302" t="s">
        <v>281</v>
      </c>
      <c r="I55" s="309">
        <v>90000</v>
      </c>
      <c r="J55" s="301">
        <v>1</v>
      </c>
      <c r="K55" s="347">
        <f t="shared" si="4"/>
        <v>90000</v>
      </c>
      <c r="L55" s="347">
        <f t="shared" si="5"/>
        <v>8100</v>
      </c>
      <c r="M55" s="350" t="s">
        <v>281</v>
      </c>
      <c r="N55" s="300">
        <f>SUM(K55:L55)</f>
        <v>98100</v>
      </c>
      <c r="O55" s="246"/>
      <c r="P55" s="246"/>
      <c r="Q55" s="246" t="s">
        <v>70</v>
      </c>
      <c r="R55" s="246"/>
      <c r="S55" s="246"/>
      <c r="T55" s="245"/>
    </row>
    <row r="56" spans="1:20" ht="33.950000000000003">
      <c r="A56" s="306" t="s">
        <v>300</v>
      </c>
      <c r="B56" s="305" t="s">
        <v>64</v>
      </c>
      <c r="C56" s="285" t="s">
        <v>65</v>
      </c>
      <c r="D56" s="304" t="s">
        <v>315</v>
      </c>
      <c r="E56" s="304" t="s">
        <v>316</v>
      </c>
      <c r="F56" s="303" t="s">
        <v>298</v>
      </c>
      <c r="G56" s="303" t="s">
        <v>69</v>
      </c>
      <c r="H56" s="302" t="s">
        <v>281</v>
      </c>
      <c r="I56" s="309">
        <v>20000</v>
      </c>
      <c r="J56" s="301">
        <v>1</v>
      </c>
      <c r="K56" s="347">
        <f t="shared" si="4"/>
        <v>20000</v>
      </c>
      <c r="L56" s="347">
        <f t="shared" si="5"/>
        <v>1800</v>
      </c>
      <c r="M56" s="310">
        <v>500</v>
      </c>
      <c r="N56" s="300">
        <f>SUM(K56:M56)</f>
        <v>22300</v>
      </c>
      <c r="O56" s="246"/>
      <c r="P56" s="246"/>
      <c r="Q56" s="246" t="s">
        <v>70</v>
      </c>
      <c r="R56" s="246" t="s">
        <v>70</v>
      </c>
      <c r="S56" s="246"/>
      <c r="T56" s="245"/>
    </row>
    <row r="57" spans="1:20" ht="33.950000000000003">
      <c r="A57" s="306" t="s">
        <v>15</v>
      </c>
      <c r="B57" s="305" t="s">
        <v>286</v>
      </c>
      <c r="C57" s="285" t="s">
        <v>65</v>
      </c>
      <c r="D57" s="304" t="s">
        <v>317</v>
      </c>
      <c r="E57" s="304" t="s">
        <v>318</v>
      </c>
      <c r="F57" s="303" t="s">
        <v>298</v>
      </c>
      <c r="G57" s="303" t="s">
        <v>76</v>
      </c>
      <c r="H57" s="302" t="s">
        <v>281</v>
      </c>
      <c r="I57" s="309">
        <v>10000</v>
      </c>
      <c r="J57" s="301">
        <v>1</v>
      </c>
      <c r="K57" s="347">
        <f t="shared" si="4"/>
        <v>10000</v>
      </c>
      <c r="L57" s="347">
        <f t="shared" si="5"/>
        <v>900</v>
      </c>
      <c r="M57" s="310" t="s">
        <v>281</v>
      </c>
      <c r="N57" s="300">
        <f t="shared" ref="N57:N79" si="6">SUM(K57:L57)</f>
        <v>10900</v>
      </c>
      <c r="O57" s="246"/>
      <c r="P57" s="246"/>
      <c r="Q57" s="246" t="s">
        <v>70</v>
      </c>
      <c r="R57" s="246" t="s">
        <v>70</v>
      </c>
      <c r="S57" s="246"/>
      <c r="T57" s="245"/>
    </row>
    <row r="58" spans="1:20" ht="17.100000000000001">
      <c r="A58" s="302" t="s">
        <v>15</v>
      </c>
      <c r="B58" s="302" t="s">
        <v>286</v>
      </c>
      <c r="C58" s="302" t="s">
        <v>319</v>
      </c>
      <c r="D58" s="246" t="s">
        <v>320</v>
      </c>
      <c r="E58" s="245" t="s">
        <v>321</v>
      </c>
      <c r="F58" s="302" t="s">
        <v>75</v>
      </c>
      <c r="G58" s="302" t="s">
        <v>76</v>
      </c>
      <c r="H58" s="302">
        <v>5</v>
      </c>
      <c r="I58" s="369">
        <v>25000</v>
      </c>
      <c r="J58" s="302">
        <v>1</v>
      </c>
      <c r="K58" s="352">
        <f t="shared" si="4"/>
        <v>25000</v>
      </c>
      <c r="L58" s="352">
        <f t="shared" si="5"/>
        <v>2250</v>
      </c>
      <c r="M58" s="392" t="s">
        <v>281</v>
      </c>
      <c r="N58" s="315">
        <f t="shared" si="6"/>
        <v>27250</v>
      </c>
      <c r="O58" s="246"/>
      <c r="P58" s="246"/>
      <c r="Q58" s="246" t="s">
        <v>70</v>
      </c>
      <c r="R58" s="246" t="s">
        <v>70</v>
      </c>
      <c r="S58" s="246"/>
      <c r="T58" s="245"/>
    </row>
    <row r="59" spans="1:20" ht="17.100000000000001">
      <c r="A59" s="306" t="s">
        <v>15</v>
      </c>
      <c r="B59" s="305" t="s">
        <v>286</v>
      </c>
      <c r="C59" s="305" t="s">
        <v>322</v>
      </c>
      <c r="D59" s="304" t="s">
        <v>323</v>
      </c>
      <c r="E59" s="304" t="s">
        <v>324</v>
      </c>
      <c r="F59" s="303" t="s">
        <v>298</v>
      </c>
      <c r="G59" s="303" t="s">
        <v>76</v>
      </c>
      <c r="H59" s="302" t="s">
        <v>281</v>
      </c>
      <c r="I59" s="309">
        <v>250</v>
      </c>
      <c r="J59" s="301">
        <v>10</v>
      </c>
      <c r="K59" s="347">
        <f t="shared" si="4"/>
        <v>2500</v>
      </c>
      <c r="L59" s="347">
        <f t="shared" si="5"/>
        <v>225</v>
      </c>
      <c r="M59" s="350" t="s">
        <v>281</v>
      </c>
      <c r="N59" s="300">
        <f t="shared" si="6"/>
        <v>2725</v>
      </c>
      <c r="O59" s="246"/>
      <c r="P59" s="246"/>
      <c r="Q59" s="246" t="s">
        <v>70</v>
      </c>
      <c r="R59" s="246" t="s">
        <v>70</v>
      </c>
      <c r="S59" s="246"/>
      <c r="T59" s="245"/>
    </row>
    <row r="60" spans="1:20" ht="17.100000000000001">
      <c r="A60" s="306" t="s">
        <v>15</v>
      </c>
      <c r="B60" s="305" t="s">
        <v>286</v>
      </c>
      <c r="C60" s="305" t="s">
        <v>322</v>
      </c>
      <c r="D60" s="304" t="s">
        <v>325</v>
      </c>
      <c r="E60" s="304" t="s">
        <v>324</v>
      </c>
      <c r="F60" s="303" t="s">
        <v>298</v>
      </c>
      <c r="G60" s="303" t="s">
        <v>76</v>
      </c>
      <c r="H60" s="302" t="s">
        <v>281</v>
      </c>
      <c r="I60" s="309">
        <v>60000</v>
      </c>
      <c r="J60" s="301">
        <v>1</v>
      </c>
      <c r="K60" s="347">
        <f t="shared" si="4"/>
        <v>60000</v>
      </c>
      <c r="L60" s="347">
        <f t="shared" si="5"/>
        <v>5400</v>
      </c>
      <c r="M60" s="350" t="s">
        <v>281</v>
      </c>
      <c r="N60" s="300">
        <f t="shared" si="6"/>
        <v>65400</v>
      </c>
      <c r="O60" s="246"/>
      <c r="P60" s="246"/>
      <c r="Q60" s="246" t="s">
        <v>70</v>
      </c>
      <c r="R60" s="246" t="s">
        <v>70</v>
      </c>
      <c r="S60" s="246"/>
      <c r="T60" s="245"/>
    </row>
    <row r="61" spans="1:20" ht="51">
      <c r="A61" s="302" t="s">
        <v>300</v>
      </c>
      <c r="B61" s="305" t="s">
        <v>286</v>
      </c>
      <c r="C61" s="305" t="s">
        <v>322</v>
      </c>
      <c r="D61" s="304" t="s">
        <v>326</v>
      </c>
      <c r="E61" s="304" t="s">
        <v>327</v>
      </c>
      <c r="F61" s="303" t="s">
        <v>298</v>
      </c>
      <c r="G61" s="303" t="s">
        <v>69</v>
      </c>
      <c r="H61" s="302" t="s">
        <v>281</v>
      </c>
      <c r="I61" s="309">
        <v>100</v>
      </c>
      <c r="J61" s="301">
        <v>4</v>
      </c>
      <c r="K61" s="347">
        <f t="shared" si="4"/>
        <v>400</v>
      </c>
      <c r="L61" s="347">
        <f t="shared" si="5"/>
        <v>36</v>
      </c>
      <c r="M61" s="350" t="s">
        <v>281</v>
      </c>
      <c r="N61" s="300">
        <f t="shared" si="6"/>
        <v>436</v>
      </c>
      <c r="O61" s="246"/>
      <c r="P61" s="246"/>
      <c r="Q61" s="246" t="s">
        <v>70</v>
      </c>
      <c r="R61" s="246" t="s">
        <v>70</v>
      </c>
      <c r="S61" s="246"/>
      <c r="T61" s="245"/>
    </row>
    <row r="62" spans="1:20" ht="17.100000000000001">
      <c r="A62" s="306" t="s">
        <v>300</v>
      </c>
      <c r="B62" s="305" t="s">
        <v>286</v>
      </c>
      <c r="C62" s="305" t="s">
        <v>322</v>
      </c>
      <c r="D62" s="304" t="s">
        <v>328</v>
      </c>
      <c r="E62" s="304" t="s">
        <v>329</v>
      </c>
      <c r="F62" s="303" t="s">
        <v>298</v>
      </c>
      <c r="G62" s="303" t="s">
        <v>76</v>
      </c>
      <c r="H62" s="308" t="s">
        <v>281</v>
      </c>
      <c r="I62" s="307">
        <v>15000</v>
      </c>
      <c r="J62" s="301">
        <v>2</v>
      </c>
      <c r="K62" s="347">
        <f t="shared" si="4"/>
        <v>30000</v>
      </c>
      <c r="L62" s="347">
        <f t="shared" si="5"/>
        <v>2700</v>
      </c>
      <c r="M62" s="350" t="s">
        <v>281</v>
      </c>
      <c r="N62" s="300">
        <f t="shared" si="6"/>
        <v>32700</v>
      </c>
      <c r="O62" s="246"/>
      <c r="P62" s="246"/>
      <c r="Q62" s="246" t="s">
        <v>70</v>
      </c>
      <c r="R62" s="246" t="s">
        <v>70</v>
      </c>
      <c r="S62" s="246"/>
      <c r="T62" s="245"/>
    </row>
    <row r="63" spans="1:20" ht="17.100000000000001">
      <c r="A63" s="306" t="s">
        <v>300</v>
      </c>
      <c r="B63" s="305" t="s">
        <v>286</v>
      </c>
      <c r="C63" s="305" t="s">
        <v>322</v>
      </c>
      <c r="D63" s="304" t="s">
        <v>330</v>
      </c>
      <c r="E63" s="304" t="s">
        <v>329</v>
      </c>
      <c r="F63" s="303" t="s">
        <v>298</v>
      </c>
      <c r="G63" s="303" t="s">
        <v>76</v>
      </c>
      <c r="H63" s="302" t="s">
        <v>281</v>
      </c>
      <c r="I63" s="309">
        <v>3000</v>
      </c>
      <c r="J63" s="301">
        <v>4</v>
      </c>
      <c r="K63" s="347">
        <f t="shared" si="4"/>
        <v>12000</v>
      </c>
      <c r="L63" s="347">
        <f t="shared" si="5"/>
        <v>1080</v>
      </c>
      <c r="M63" s="350" t="s">
        <v>281</v>
      </c>
      <c r="N63" s="300">
        <f t="shared" si="6"/>
        <v>13080</v>
      </c>
      <c r="O63" s="246"/>
      <c r="P63" s="246"/>
      <c r="Q63" s="246" t="s">
        <v>70</v>
      </c>
      <c r="R63" s="246" t="s">
        <v>70</v>
      </c>
      <c r="S63" s="246"/>
      <c r="T63" s="245"/>
    </row>
    <row r="64" spans="1:20" ht="17.100000000000001">
      <c r="A64" s="306" t="s">
        <v>300</v>
      </c>
      <c r="B64" s="305" t="s">
        <v>286</v>
      </c>
      <c r="C64" s="305" t="s">
        <v>322</v>
      </c>
      <c r="D64" s="304" t="s">
        <v>331</v>
      </c>
      <c r="E64" s="304" t="s">
        <v>329</v>
      </c>
      <c r="F64" s="303" t="s">
        <v>298</v>
      </c>
      <c r="G64" s="303" t="s">
        <v>76</v>
      </c>
      <c r="H64" s="302" t="s">
        <v>281</v>
      </c>
      <c r="I64" s="309">
        <v>9000</v>
      </c>
      <c r="J64" s="301">
        <v>4</v>
      </c>
      <c r="K64" s="347">
        <f t="shared" si="4"/>
        <v>36000</v>
      </c>
      <c r="L64" s="347">
        <f t="shared" si="5"/>
        <v>3240</v>
      </c>
      <c r="M64" s="350" t="s">
        <v>281</v>
      </c>
      <c r="N64" s="300">
        <f t="shared" si="6"/>
        <v>39240</v>
      </c>
      <c r="O64" s="246"/>
      <c r="P64" s="246"/>
      <c r="Q64" s="246" t="s">
        <v>70</v>
      </c>
      <c r="R64" s="246" t="s">
        <v>70</v>
      </c>
      <c r="S64" s="246"/>
      <c r="T64" s="245"/>
    </row>
    <row r="65" spans="1:20" ht="33.950000000000003">
      <c r="A65" s="306" t="s">
        <v>300</v>
      </c>
      <c r="B65" s="305" t="s">
        <v>286</v>
      </c>
      <c r="C65" s="305" t="s">
        <v>322</v>
      </c>
      <c r="D65" s="304" t="s">
        <v>332</v>
      </c>
      <c r="E65" s="304" t="s">
        <v>333</v>
      </c>
      <c r="F65" s="303" t="s">
        <v>298</v>
      </c>
      <c r="G65" s="303" t="s">
        <v>69</v>
      </c>
      <c r="H65" s="302" t="s">
        <v>281</v>
      </c>
      <c r="I65" s="309">
        <v>61</v>
      </c>
      <c r="J65" s="301">
        <v>30</v>
      </c>
      <c r="K65" s="347">
        <f t="shared" si="4"/>
        <v>1830</v>
      </c>
      <c r="L65" s="347">
        <f t="shared" si="5"/>
        <v>164.7</v>
      </c>
      <c r="M65" s="350" t="s">
        <v>281</v>
      </c>
      <c r="N65" s="314">
        <f t="shared" si="6"/>
        <v>1994.7</v>
      </c>
      <c r="O65" s="246"/>
      <c r="P65" s="246"/>
      <c r="Q65" s="246"/>
      <c r="R65" s="246"/>
      <c r="S65" s="246"/>
      <c r="T65" s="245"/>
    </row>
    <row r="66" spans="1:20" ht="72" customHeight="1">
      <c r="A66" s="306" t="s">
        <v>300</v>
      </c>
      <c r="B66" s="285" t="s">
        <v>286</v>
      </c>
      <c r="C66" s="305" t="s">
        <v>334</v>
      </c>
      <c r="D66" s="304" t="s">
        <v>335</v>
      </c>
      <c r="E66" s="304" t="s">
        <v>336</v>
      </c>
      <c r="F66" s="303" t="s">
        <v>298</v>
      </c>
      <c r="G66" s="303" t="s">
        <v>76</v>
      </c>
      <c r="H66" s="302" t="s">
        <v>281</v>
      </c>
      <c r="I66" s="309">
        <v>1250</v>
      </c>
      <c r="J66" s="301">
        <v>10</v>
      </c>
      <c r="K66" s="347">
        <f>(I66*J66)</f>
        <v>12500</v>
      </c>
      <c r="L66" s="347">
        <f t="shared" si="5"/>
        <v>1125</v>
      </c>
      <c r="M66" s="350" t="s">
        <v>281</v>
      </c>
      <c r="N66" s="300">
        <f t="shared" si="6"/>
        <v>13625</v>
      </c>
      <c r="O66" s="246"/>
      <c r="P66" s="246"/>
      <c r="Q66" s="246" t="s">
        <v>70</v>
      </c>
      <c r="R66" s="246" t="s">
        <v>70</v>
      </c>
      <c r="S66" s="246"/>
      <c r="T66" s="245"/>
    </row>
    <row r="67" spans="1:20" ht="17.100000000000001">
      <c r="A67" s="302" t="s">
        <v>15</v>
      </c>
      <c r="B67" s="285" t="s">
        <v>286</v>
      </c>
      <c r="C67" s="305" t="s">
        <v>322</v>
      </c>
      <c r="D67" s="304" t="s">
        <v>337</v>
      </c>
      <c r="E67" s="304" t="s">
        <v>338</v>
      </c>
      <c r="F67" s="303" t="s">
        <v>298</v>
      </c>
      <c r="G67" s="303" t="s">
        <v>69</v>
      </c>
      <c r="H67" s="309" t="s">
        <v>281</v>
      </c>
      <c r="I67" s="307">
        <v>3000</v>
      </c>
      <c r="J67" s="301">
        <v>1</v>
      </c>
      <c r="K67" s="347">
        <f>(I67*J67)</f>
        <v>3000</v>
      </c>
      <c r="L67" s="347">
        <f t="shared" si="5"/>
        <v>270</v>
      </c>
      <c r="M67" s="393" t="s">
        <v>281</v>
      </c>
      <c r="N67" s="314">
        <f t="shared" si="6"/>
        <v>3270</v>
      </c>
      <c r="O67" s="246"/>
      <c r="P67" s="246"/>
      <c r="Q67" s="246" t="s">
        <v>70</v>
      </c>
      <c r="R67" s="246" t="s">
        <v>70</v>
      </c>
      <c r="S67" s="246"/>
      <c r="T67" s="245"/>
    </row>
    <row r="68" spans="1:20" ht="17.100000000000001">
      <c r="A68" s="306" t="s">
        <v>15</v>
      </c>
      <c r="B68" s="285" t="s">
        <v>286</v>
      </c>
      <c r="C68" s="305" t="s">
        <v>322</v>
      </c>
      <c r="D68" s="304" t="s">
        <v>339</v>
      </c>
      <c r="E68" s="304" t="s">
        <v>340</v>
      </c>
      <c r="F68" s="303" t="s">
        <v>298</v>
      </c>
      <c r="G68" s="303" t="s">
        <v>69</v>
      </c>
      <c r="H68" s="302" t="s">
        <v>281</v>
      </c>
      <c r="I68" s="309">
        <v>11000</v>
      </c>
      <c r="J68" s="301">
        <v>1</v>
      </c>
      <c r="K68" s="347">
        <f t="shared" ref="K68:K78" si="7">I68*J68</f>
        <v>11000</v>
      </c>
      <c r="L68" s="347">
        <f t="shared" si="5"/>
        <v>990</v>
      </c>
      <c r="M68" s="350" t="s">
        <v>281</v>
      </c>
      <c r="N68" s="300">
        <f t="shared" si="6"/>
        <v>11990</v>
      </c>
      <c r="O68" s="246"/>
      <c r="P68" s="246"/>
      <c r="Q68" s="246"/>
      <c r="R68" s="246"/>
      <c r="S68" s="246"/>
      <c r="T68" s="245"/>
    </row>
    <row r="69" spans="1:20" ht="84.95">
      <c r="A69" s="302" t="s">
        <v>300</v>
      </c>
      <c r="B69" s="285" t="s">
        <v>286</v>
      </c>
      <c r="C69" s="305" t="s">
        <v>322</v>
      </c>
      <c r="D69" s="304" t="s">
        <v>341</v>
      </c>
      <c r="E69" s="304" t="s">
        <v>342</v>
      </c>
      <c r="F69" s="303" t="s">
        <v>298</v>
      </c>
      <c r="G69" s="303" t="s">
        <v>76</v>
      </c>
      <c r="H69" s="302" t="s">
        <v>281</v>
      </c>
      <c r="I69" s="309">
        <v>65000</v>
      </c>
      <c r="J69" s="301">
        <v>1</v>
      </c>
      <c r="K69" s="347">
        <f t="shared" si="7"/>
        <v>65000</v>
      </c>
      <c r="L69" s="347">
        <f t="shared" si="5"/>
        <v>5850</v>
      </c>
      <c r="M69" s="350" t="s">
        <v>281</v>
      </c>
      <c r="N69" s="300">
        <f t="shared" si="6"/>
        <v>70850</v>
      </c>
      <c r="O69" s="246"/>
      <c r="P69" s="246"/>
      <c r="Q69" s="246" t="s">
        <v>70</v>
      </c>
      <c r="R69" s="246" t="s">
        <v>70</v>
      </c>
      <c r="S69" s="246"/>
      <c r="T69" s="245"/>
    </row>
    <row r="70" spans="1:20" ht="33.950000000000003">
      <c r="A70" s="302" t="s">
        <v>300</v>
      </c>
      <c r="B70" s="285" t="s">
        <v>286</v>
      </c>
      <c r="C70" s="305" t="s">
        <v>322</v>
      </c>
      <c r="D70" s="304" t="s">
        <v>343</v>
      </c>
      <c r="E70" s="304" t="s">
        <v>344</v>
      </c>
      <c r="F70" s="303" t="s">
        <v>298</v>
      </c>
      <c r="G70" s="303" t="s">
        <v>69</v>
      </c>
      <c r="H70" s="302" t="s">
        <v>281</v>
      </c>
      <c r="I70" s="309">
        <v>500</v>
      </c>
      <c r="J70" s="301">
        <v>3</v>
      </c>
      <c r="K70" s="347">
        <f t="shared" si="7"/>
        <v>1500</v>
      </c>
      <c r="L70" s="347">
        <f t="shared" si="5"/>
        <v>135</v>
      </c>
      <c r="M70" s="350" t="s">
        <v>281</v>
      </c>
      <c r="N70" s="300">
        <f t="shared" si="6"/>
        <v>1635</v>
      </c>
      <c r="O70" s="246"/>
      <c r="P70" s="246"/>
      <c r="Q70" s="246" t="s">
        <v>70</v>
      </c>
      <c r="R70" s="246" t="s">
        <v>70</v>
      </c>
      <c r="S70" s="246"/>
      <c r="T70" s="245"/>
    </row>
    <row r="71" spans="1:20" customFormat="1" ht="68.099999999999994">
      <c r="A71" s="306" t="s">
        <v>15</v>
      </c>
      <c r="B71" s="305" t="s">
        <v>64</v>
      </c>
      <c r="C71" s="305" t="s">
        <v>345</v>
      </c>
      <c r="D71" s="304" t="s">
        <v>346</v>
      </c>
      <c r="E71" s="304" t="s">
        <v>347</v>
      </c>
      <c r="F71" s="303" t="s">
        <v>298</v>
      </c>
      <c r="G71" s="303" t="s">
        <v>281</v>
      </c>
      <c r="H71" s="308" t="s">
        <v>281</v>
      </c>
      <c r="I71" s="351">
        <v>2000</v>
      </c>
      <c r="J71" s="301">
        <v>10</v>
      </c>
      <c r="K71" s="347">
        <f t="shared" si="7"/>
        <v>20000</v>
      </c>
      <c r="L71" s="347">
        <f t="shared" si="5"/>
        <v>1800</v>
      </c>
      <c r="M71" s="350" t="s">
        <v>281</v>
      </c>
      <c r="N71" s="368">
        <f t="shared" si="6"/>
        <v>21800</v>
      </c>
      <c r="O71" s="234"/>
      <c r="P71" s="234"/>
      <c r="Q71" s="234" t="s">
        <v>70</v>
      </c>
      <c r="R71" s="234" t="s">
        <v>70</v>
      </c>
      <c r="S71" s="234"/>
      <c r="T71" s="234"/>
    </row>
    <row r="72" spans="1:20" customFormat="1" ht="68.099999999999994">
      <c r="A72" s="306" t="s">
        <v>300</v>
      </c>
      <c r="B72" s="305" t="s">
        <v>64</v>
      </c>
      <c r="C72" s="305" t="s">
        <v>345</v>
      </c>
      <c r="D72" s="304" t="s">
        <v>348</v>
      </c>
      <c r="E72" s="304" t="s">
        <v>349</v>
      </c>
      <c r="F72" s="303" t="s">
        <v>298</v>
      </c>
      <c r="G72" s="303" t="s">
        <v>281</v>
      </c>
      <c r="H72" s="308" t="s">
        <v>281</v>
      </c>
      <c r="I72" s="307">
        <v>300</v>
      </c>
      <c r="J72" s="301">
        <v>10</v>
      </c>
      <c r="K72" s="347">
        <f t="shared" si="7"/>
        <v>3000</v>
      </c>
      <c r="L72" s="347">
        <f t="shared" si="5"/>
        <v>270</v>
      </c>
      <c r="M72" s="350" t="s">
        <v>281</v>
      </c>
      <c r="N72" s="300">
        <f t="shared" si="6"/>
        <v>3270</v>
      </c>
      <c r="O72" s="234"/>
      <c r="P72" s="234"/>
      <c r="Q72" s="234" t="s">
        <v>70</v>
      </c>
      <c r="R72" s="234" t="s">
        <v>70</v>
      </c>
      <c r="S72" s="234"/>
      <c r="T72" s="234"/>
    </row>
    <row r="73" spans="1:20" customFormat="1" ht="51">
      <c r="A73" s="306" t="s">
        <v>15</v>
      </c>
      <c r="B73" s="305" t="s">
        <v>64</v>
      </c>
      <c r="C73" s="305" t="s">
        <v>294</v>
      </c>
      <c r="D73" s="304" t="s">
        <v>350</v>
      </c>
      <c r="E73" s="304" t="s">
        <v>351</v>
      </c>
      <c r="F73" s="303" t="s">
        <v>298</v>
      </c>
      <c r="G73" s="303" t="s">
        <v>69</v>
      </c>
      <c r="H73" s="308" t="s">
        <v>281</v>
      </c>
      <c r="I73" s="307">
        <v>27000</v>
      </c>
      <c r="J73" s="301">
        <v>1</v>
      </c>
      <c r="K73" s="347">
        <f t="shared" si="7"/>
        <v>27000</v>
      </c>
      <c r="L73" s="347">
        <f t="shared" si="5"/>
        <v>2430</v>
      </c>
      <c r="M73" s="349" t="s">
        <v>281</v>
      </c>
      <c r="N73" s="300">
        <f t="shared" si="6"/>
        <v>29430</v>
      </c>
      <c r="O73" s="234"/>
      <c r="P73" s="234"/>
      <c r="Q73" s="234"/>
      <c r="R73" s="234"/>
      <c r="S73" s="234"/>
      <c r="T73" s="234"/>
    </row>
    <row r="74" spans="1:20" customFormat="1" ht="68.099999999999994">
      <c r="A74" s="306" t="s">
        <v>300</v>
      </c>
      <c r="B74" s="305" t="s">
        <v>64</v>
      </c>
      <c r="C74" s="305" t="s">
        <v>294</v>
      </c>
      <c r="D74" s="304" t="s">
        <v>352</v>
      </c>
      <c r="E74" s="304" t="s">
        <v>353</v>
      </c>
      <c r="F74" s="303" t="s">
        <v>298</v>
      </c>
      <c r="G74" s="303" t="s">
        <v>69</v>
      </c>
      <c r="H74" s="308" t="s">
        <v>281</v>
      </c>
      <c r="I74" s="307">
        <v>8000</v>
      </c>
      <c r="J74" s="301">
        <v>1</v>
      </c>
      <c r="K74" s="347">
        <f t="shared" si="7"/>
        <v>8000</v>
      </c>
      <c r="L74" s="347">
        <f t="shared" si="5"/>
        <v>720</v>
      </c>
      <c r="M74" s="302" t="s">
        <v>281</v>
      </c>
      <c r="N74" s="310">
        <f t="shared" si="6"/>
        <v>8720</v>
      </c>
      <c r="O74" s="234"/>
      <c r="P74" s="234"/>
      <c r="Q74" s="234" t="s">
        <v>70</v>
      </c>
      <c r="R74" s="234" t="s">
        <v>70</v>
      </c>
      <c r="S74" s="234"/>
      <c r="T74" s="234"/>
    </row>
    <row r="75" spans="1:20" customFormat="1" ht="51">
      <c r="A75" s="306" t="s">
        <v>15</v>
      </c>
      <c r="B75" s="305" t="s">
        <v>64</v>
      </c>
      <c r="C75" s="305" t="s">
        <v>294</v>
      </c>
      <c r="D75" s="304" t="s">
        <v>354</v>
      </c>
      <c r="E75" s="304" t="s">
        <v>355</v>
      </c>
      <c r="F75" s="303" t="s">
        <v>298</v>
      </c>
      <c r="G75" s="303" t="s">
        <v>69</v>
      </c>
      <c r="H75" s="302" t="s">
        <v>281</v>
      </c>
      <c r="I75" s="309">
        <v>6000</v>
      </c>
      <c r="J75" s="301">
        <v>3</v>
      </c>
      <c r="K75" s="347">
        <f t="shared" si="7"/>
        <v>18000</v>
      </c>
      <c r="L75" s="347">
        <f t="shared" si="5"/>
        <v>1620</v>
      </c>
      <c r="M75" s="350" t="s">
        <v>281</v>
      </c>
      <c r="N75" s="300">
        <f t="shared" si="6"/>
        <v>19620</v>
      </c>
      <c r="O75" s="234"/>
      <c r="P75" s="234"/>
      <c r="Q75" s="234" t="s">
        <v>70</v>
      </c>
      <c r="R75" s="234" t="s">
        <v>70</v>
      </c>
      <c r="S75" s="234"/>
      <c r="T75" s="234"/>
    </row>
    <row r="76" spans="1:20" customFormat="1" ht="33.950000000000003">
      <c r="A76" s="306" t="s">
        <v>300</v>
      </c>
      <c r="B76" s="305" t="s">
        <v>286</v>
      </c>
      <c r="C76" s="305" t="s">
        <v>294</v>
      </c>
      <c r="D76" s="304" t="s">
        <v>356</v>
      </c>
      <c r="E76" s="304" t="s">
        <v>357</v>
      </c>
      <c r="F76" s="303" t="s">
        <v>298</v>
      </c>
      <c r="G76" s="303" t="s">
        <v>76</v>
      </c>
      <c r="H76" s="302" t="s">
        <v>281</v>
      </c>
      <c r="I76" s="309">
        <v>2000</v>
      </c>
      <c r="J76" s="301">
        <v>3</v>
      </c>
      <c r="K76" s="347">
        <f t="shared" si="7"/>
        <v>6000</v>
      </c>
      <c r="L76" s="347">
        <f t="shared" si="5"/>
        <v>540</v>
      </c>
      <c r="M76" s="350" t="s">
        <v>281</v>
      </c>
      <c r="N76" s="300">
        <f t="shared" si="6"/>
        <v>6540</v>
      </c>
      <c r="O76" s="234"/>
      <c r="P76" s="234"/>
      <c r="Q76" s="234" t="s">
        <v>70</v>
      </c>
      <c r="R76" s="234" t="s">
        <v>70</v>
      </c>
      <c r="S76" s="234"/>
      <c r="T76" s="234"/>
    </row>
    <row r="77" spans="1:20" customFormat="1" ht="51">
      <c r="A77" s="306" t="s">
        <v>15</v>
      </c>
      <c r="B77" s="305" t="s">
        <v>64</v>
      </c>
      <c r="C77" s="305" t="s">
        <v>294</v>
      </c>
      <c r="D77" s="304" t="s">
        <v>358</v>
      </c>
      <c r="E77" s="304" t="s">
        <v>351</v>
      </c>
      <c r="F77" s="303" t="s">
        <v>298</v>
      </c>
      <c r="G77" s="303" t="s">
        <v>69</v>
      </c>
      <c r="H77" s="308" t="s">
        <v>281</v>
      </c>
      <c r="I77" s="307">
        <v>27000</v>
      </c>
      <c r="J77" s="301">
        <v>1</v>
      </c>
      <c r="K77" s="347">
        <f t="shared" si="7"/>
        <v>27000</v>
      </c>
      <c r="L77" s="347">
        <f t="shared" si="5"/>
        <v>2430</v>
      </c>
      <c r="M77" s="349" t="s">
        <v>281</v>
      </c>
      <c r="N77" s="300">
        <f t="shared" si="6"/>
        <v>29430</v>
      </c>
      <c r="O77" s="234"/>
      <c r="P77" s="234"/>
      <c r="Q77" s="234"/>
      <c r="R77" s="234"/>
      <c r="S77" s="234"/>
      <c r="T77" s="234"/>
    </row>
    <row r="78" spans="1:20" customFormat="1" ht="51">
      <c r="A78" s="274" t="s">
        <v>15</v>
      </c>
      <c r="B78" s="273" t="s">
        <v>170</v>
      </c>
      <c r="C78" s="273" t="s">
        <v>294</v>
      </c>
      <c r="D78" s="272" t="s">
        <v>295</v>
      </c>
      <c r="E78" s="272" t="s">
        <v>359</v>
      </c>
      <c r="F78" s="271" t="s">
        <v>68</v>
      </c>
      <c r="G78" s="271" t="s">
        <v>69</v>
      </c>
      <c r="H78" s="270" t="s">
        <v>281</v>
      </c>
      <c r="I78" s="269">
        <v>150000</v>
      </c>
      <c r="J78" s="268">
        <v>1</v>
      </c>
      <c r="K78" s="267">
        <f t="shared" si="7"/>
        <v>150000</v>
      </c>
      <c r="L78" s="267">
        <f t="shared" si="5"/>
        <v>13500</v>
      </c>
      <c r="M78" s="266" t="s">
        <v>281</v>
      </c>
      <c r="N78" s="265">
        <f t="shared" si="6"/>
        <v>163500</v>
      </c>
      <c r="O78" s="234"/>
      <c r="P78" s="234"/>
      <c r="Q78" s="234"/>
      <c r="R78" s="234"/>
      <c r="S78" s="234"/>
      <c r="T78" s="234"/>
    </row>
    <row r="79" spans="1:20" customFormat="1" ht="33.950000000000003">
      <c r="A79" s="278" t="s">
        <v>15</v>
      </c>
      <c r="B79" s="270" t="s">
        <v>286</v>
      </c>
      <c r="C79" s="270" t="s">
        <v>296</v>
      </c>
      <c r="D79" s="278" t="s">
        <v>297</v>
      </c>
      <c r="E79" s="381" t="s">
        <v>360</v>
      </c>
      <c r="F79" s="270" t="s">
        <v>298</v>
      </c>
      <c r="G79" s="270" t="s">
        <v>69</v>
      </c>
      <c r="H79" s="270" t="s">
        <v>281</v>
      </c>
      <c r="I79" s="270">
        <v>500</v>
      </c>
      <c r="J79" s="270">
        <v>3</v>
      </c>
      <c r="K79" s="277">
        <f>(I79*J79)</f>
        <v>1500</v>
      </c>
      <c r="L79" s="276">
        <f>(K79*0.9)</f>
        <v>1350</v>
      </c>
      <c r="M79" s="270" t="s">
        <v>281</v>
      </c>
      <c r="N79" s="275">
        <f t="shared" si="6"/>
        <v>2850</v>
      </c>
      <c r="O79" s="234"/>
      <c r="P79" s="234"/>
      <c r="Q79" s="234"/>
      <c r="R79" s="234"/>
      <c r="S79" s="234"/>
      <c r="T79" s="234"/>
    </row>
    <row r="80" spans="1:20" ht="26.1" customHeight="1">
      <c r="A80" s="370"/>
      <c r="B80" s="370"/>
      <c r="C80" s="370"/>
      <c r="D80" s="370"/>
      <c r="E80" s="370"/>
      <c r="F80" s="371"/>
      <c r="G80" s="371"/>
      <c r="H80" s="371"/>
      <c r="I80" s="370"/>
      <c r="J80" s="370"/>
      <c r="K80" s="370"/>
      <c r="L80" s="370" t="s">
        <v>361</v>
      </c>
      <c r="M80" s="370"/>
      <c r="N80" s="372">
        <f>SUM(N51:N70)</f>
        <v>476535.7</v>
      </c>
      <c r="O80" s="246"/>
      <c r="P80" s="246"/>
      <c r="Q80" s="246"/>
      <c r="R80" s="246"/>
      <c r="S80" s="246"/>
      <c r="T80" s="245"/>
    </row>
    <row r="81" spans="1:20" ht="51">
      <c r="A81" s="353" t="s">
        <v>17</v>
      </c>
      <c r="B81" s="353" t="s">
        <v>362</v>
      </c>
      <c r="C81" s="353" t="s">
        <v>363</v>
      </c>
      <c r="D81" s="313" t="s">
        <v>364</v>
      </c>
      <c r="E81" s="284" t="s">
        <v>365</v>
      </c>
      <c r="F81" s="281" t="s">
        <v>75</v>
      </c>
      <c r="G81" s="281" t="s">
        <v>366</v>
      </c>
      <c r="H81" s="282">
        <v>1</v>
      </c>
      <c r="I81" s="280"/>
      <c r="J81" s="281">
        <v>1</v>
      </c>
      <c r="K81" s="280">
        <v>10000</v>
      </c>
      <c r="L81" s="280">
        <v>900</v>
      </c>
      <c r="M81" s="280">
        <v>1000</v>
      </c>
      <c r="N81" s="299">
        <v>11900</v>
      </c>
      <c r="O81" s="246"/>
      <c r="P81" s="246"/>
      <c r="Q81" s="246" t="s">
        <v>70</v>
      </c>
      <c r="R81" s="246" t="s">
        <v>70</v>
      </c>
      <c r="S81" s="246"/>
      <c r="T81" s="245"/>
    </row>
    <row r="82" spans="1:20" ht="408" customHeight="1">
      <c r="A82" s="282" t="s">
        <v>367</v>
      </c>
      <c r="B82" s="298" t="s">
        <v>368</v>
      </c>
      <c r="C82" s="285" t="s">
        <v>369</v>
      </c>
      <c r="D82" s="284" t="s">
        <v>370</v>
      </c>
      <c r="E82" s="283" t="s">
        <v>371</v>
      </c>
      <c r="F82" s="281" t="s">
        <v>75</v>
      </c>
      <c r="G82" s="281" t="s">
        <v>163</v>
      </c>
      <c r="H82" s="282">
        <v>1</v>
      </c>
      <c r="I82" s="280">
        <v>200</v>
      </c>
      <c r="J82" s="281">
        <v>1</v>
      </c>
      <c r="K82" s="280">
        <v>200</v>
      </c>
      <c r="L82" s="280">
        <v>0</v>
      </c>
      <c r="M82" s="280">
        <v>0</v>
      </c>
      <c r="N82" s="299">
        <v>200</v>
      </c>
      <c r="O82" s="246"/>
      <c r="P82" s="246"/>
      <c r="Q82" s="246" t="s">
        <v>70</v>
      </c>
      <c r="R82" s="246"/>
      <c r="S82" s="246"/>
      <c r="T82" s="245"/>
    </row>
    <row r="83" spans="1:20" ht="54" customHeight="1">
      <c r="A83" s="296" t="s">
        <v>17</v>
      </c>
      <c r="B83" s="298" t="s">
        <v>372</v>
      </c>
      <c r="C83" s="285" t="s">
        <v>65</v>
      </c>
      <c r="D83" s="297" t="s">
        <v>373</v>
      </c>
      <c r="E83" s="312" t="s">
        <v>374</v>
      </c>
      <c r="F83" s="295" t="s">
        <v>75</v>
      </c>
      <c r="G83" s="295" t="s">
        <v>163</v>
      </c>
      <c r="H83" s="295" t="s">
        <v>375</v>
      </c>
      <c r="I83" s="294">
        <v>7000</v>
      </c>
      <c r="J83" s="296">
        <v>1</v>
      </c>
      <c r="K83" s="294">
        <v>7000</v>
      </c>
      <c r="L83" s="294">
        <v>700</v>
      </c>
      <c r="M83" s="294">
        <v>2000</v>
      </c>
      <c r="N83" s="293">
        <v>9900</v>
      </c>
      <c r="O83" s="246"/>
      <c r="P83" s="246"/>
      <c r="Q83" s="246" t="s">
        <v>70</v>
      </c>
      <c r="R83" s="246" t="s">
        <v>70</v>
      </c>
      <c r="S83" s="246"/>
      <c r="T83" s="245"/>
    </row>
    <row r="84" spans="1:20" ht="237.95">
      <c r="A84" s="282" t="s">
        <v>367</v>
      </c>
      <c r="B84" s="298" t="s">
        <v>368</v>
      </c>
      <c r="C84" s="285" t="s">
        <v>65</v>
      </c>
      <c r="D84" s="283" t="s">
        <v>376</v>
      </c>
      <c r="E84" s="283" t="s">
        <v>377</v>
      </c>
      <c r="F84" s="281" t="s">
        <v>75</v>
      </c>
      <c r="G84" s="281" t="s">
        <v>378</v>
      </c>
      <c r="H84" s="281" t="s">
        <v>379</v>
      </c>
      <c r="I84" s="280">
        <v>22743.543000000001</v>
      </c>
      <c r="J84" s="282">
        <v>3</v>
      </c>
      <c r="K84" s="373">
        <v>64187.15</v>
      </c>
      <c r="L84" s="374">
        <v>3543.48</v>
      </c>
      <c r="M84" s="294">
        <v>150</v>
      </c>
      <c r="N84" s="375">
        <v>67732.13</v>
      </c>
      <c r="O84" s="246"/>
      <c r="P84" s="246"/>
      <c r="Q84" s="246" t="s">
        <v>70</v>
      </c>
      <c r="R84" s="246" t="s">
        <v>70</v>
      </c>
      <c r="S84" s="246"/>
      <c r="T84" s="245"/>
    </row>
    <row r="85" spans="1:20" ht="135.94999999999999">
      <c r="A85" s="282" t="s">
        <v>367</v>
      </c>
      <c r="B85" s="298" t="s">
        <v>372</v>
      </c>
      <c r="C85" s="285" t="s">
        <v>65</v>
      </c>
      <c r="D85" s="283" t="s">
        <v>380</v>
      </c>
      <c r="E85" s="283" t="s">
        <v>381</v>
      </c>
      <c r="F85" s="281" t="s">
        <v>75</v>
      </c>
      <c r="G85" s="281" t="s">
        <v>378</v>
      </c>
      <c r="H85" s="281" t="s">
        <v>379</v>
      </c>
      <c r="I85" s="280" t="s">
        <v>382</v>
      </c>
      <c r="J85" s="282">
        <v>1</v>
      </c>
      <c r="K85" s="373">
        <v>49000.24</v>
      </c>
      <c r="L85" s="376">
        <v>3668.18</v>
      </c>
      <c r="M85" s="280">
        <v>163.44</v>
      </c>
      <c r="N85" s="374">
        <v>52668.42</v>
      </c>
      <c r="O85" s="246"/>
      <c r="P85" s="246"/>
      <c r="Q85" s="246" t="s">
        <v>70</v>
      </c>
      <c r="R85" s="246" t="s">
        <v>70</v>
      </c>
      <c r="S85" s="246"/>
      <c r="T85" s="245"/>
    </row>
    <row r="86" spans="1:20" ht="228" customHeight="1">
      <c r="A86" s="282" t="s">
        <v>367</v>
      </c>
      <c r="B86" s="298" t="s">
        <v>368</v>
      </c>
      <c r="C86" s="298" t="s">
        <v>383</v>
      </c>
      <c r="D86" s="284" t="s">
        <v>384</v>
      </c>
      <c r="E86" s="283" t="s">
        <v>385</v>
      </c>
      <c r="F86" s="281" t="s">
        <v>75</v>
      </c>
      <c r="G86" s="281" t="s">
        <v>366</v>
      </c>
      <c r="H86" s="282">
        <v>5</v>
      </c>
      <c r="I86" s="311">
        <v>1000</v>
      </c>
      <c r="J86" s="281">
        <v>20</v>
      </c>
      <c r="K86" s="311">
        <v>20000</v>
      </c>
      <c r="L86" s="311">
        <v>1800</v>
      </c>
      <c r="M86" s="311">
        <v>0</v>
      </c>
      <c r="N86" s="299">
        <v>21800</v>
      </c>
      <c r="O86" s="246"/>
      <c r="P86" s="246"/>
      <c r="Q86" s="246"/>
      <c r="R86" s="246"/>
      <c r="S86" s="246"/>
      <c r="T86" s="245" t="s">
        <v>386</v>
      </c>
    </row>
    <row r="87" spans="1:20" customFormat="1" ht="153" customHeight="1">
      <c r="A87" s="282" t="s">
        <v>367</v>
      </c>
      <c r="B87" s="298" t="s">
        <v>368</v>
      </c>
      <c r="C87" s="298" t="s">
        <v>369</v>
      </c>
      <c r="D87" s="283" t="s">
        <v>387</v>
      </c>
      <c r="E87" s="283" t="s">
        <v>388</v>
      </c>
      <c r="F87" s="281"/>
      <c r="G87" s="281"/>
      <c r="H87" s="282" t="s">
        <v>389</v>
      </c>
      <c r="I87" s="311"/>
      <c r="J87" s="282"/>
      <c r="K87" s="311">
        <v>30000</v>
      </c>
      <c r="L87" s="311">
        <v>0</v>
      </c>
      <c r="M87" s="311">
        <v>0</v>
      </c>
      <c r="N87" s="299" t="s">
        <v>390</v>
      </c>
      <c r="O87" s="234"/>
      <c r="P87" s="234"/>
      <c r="Q87" s="234" t="s">
        <v>70</v>
      </c>
      <c r="R87" s="234" t="s">
        <v>70</v>
      </c>
      <c r="S87" s="234"/>
      <c r="T87" s="234"/>
    </row>
    <row r="88" spans="1:20" customFormat="1" ht="237.95">
      <c r="A88" s="282" t="s">
        <v>367</v>
      </c>
      <c r="B88" s="298" t="s">
        <v>170</v>
      </c>
      <c r="C88" s="298" t="s">
        <v>369</v>
      </c>
      <c r="D88" s="284" t="s">
        <v>391</v>
      </c>
      <c r="E88" s="283" t="s">
        <v>392</v>
      </c>
      <c r="F88" s="281" t="s">
        <v>75</v>
      </c>
      <c r="G88" s="281" t="s">
        <v>393</v>
      </c>
      <c r="H88" s="282" t="s">
        <v>394</v>
      </c>
      <c r="I88" s="311">
        <v>2000</v>
      </c>
      <c r="J88" s="281">
        <v>15</v>
      </c>
      <c r="K88" s="311">
        <v>30000</v>
      </c>
      <c r="L88" s="311">
        <v>2700</v>
      </c>
      <c r="M88" s="311">
        <v>0</v>
      </c>
      <c r="N88" s="299">
        <v>32700</v>
      </c>
      <c r="O88" s="234"/>
      <c r="P88" s="234"/>
      <c r="Q88" s="234" t="s">
        <v>70</v>
      </c>
      <c r="R88" s="234" t="s">
        <v>70</v>
      </c>
      <c r="S88" s="234"/>
      <c r="T88" s="234"/>
    </row>
    <row r="89" spans="1:20" customFormat="1" ht="221.1">
      <c r="A89" s="282" t="s">
        <v>395</v>
      </c>
      <c r="B89" s="298" t="s">
        <v>372</v>
      </c>
      <c r="C89" s="298" t="s">
        <v>369</v>
      </c>
      <c r="D89" s="284" t="s">
        <v>396</v>
      </c>
      <c r="E89" s="283" t="s">
        <v>397</v>
      </c>
      <c r="F89" s="281" t="s">
        <v>75</v>
      </c>
      <c r="G89" s="281" t="s">
        <v>398</v>
      </c>
      <c r="H89" s="282" t="s">
        <v>399</v>
      </c>
      <c r="I89" s="395" t="s">
        <v>400</v>
      </c>
      <c r="J89" s="281">
        <v>2</v>
      </c>
      <c r="K89" s="311"/>
      <c r="L89" s="311"/>
      <c r="M89" s="311" t="s">
        <v>399</v>
      </c>
      <c r="N89" s="299">
        <v>45000</v>
      </c>
      <c r="O89" s="234"/>
      <c r="P89" s="234"/>
      <c r="Q89" s="234"/>
      <c r="R89" s="234"/>
      <c r="S89" s="234"/>
      <c r="T89" s="234"/>
    </row>
    <row r="90" spans="1:20" customFormat="1" ht="186.95">
      <c r="A90" s="282" t="s">
        <v>367</v>
      </c>
      <c r="B90" s="298" t="s">
        <v>87</v>
      </c>
      <c r="C90" s="298" t="s">
        <v>369</v>
      </c>
      <c r="D90" s="284" t="s">
        <v>401</v>
      </c>
      <c r="E90" s="283" t="s">
        <v>402</v>
      </c>
      <c r="F90" s="281" t="s">
        <v>75</v>
      </c>
      <c r="G90" s="281" t="s">
        <v>163</v>
      </c>
      <c r="H90" s="282" t="s">
        <v>403</v>
      </c>
      <c r="I90" s="311">
        <v>5000</v>
      </c>
      <c r="J90" s="281">
        <v>3</v>
      </c>
      <c r="K90" s="311">
        <v>15000</v>
      </c>
      <c r="L90" s="311">
        <v>450</v>
      </c>
      <c r="M90" s="311">
        <v>0</v>
      </c>
      <c r="N90" s="299">
        <v>5450</v>
      </c>
      <c r="O90" s="234"/>
      <c r="P90" s="234"/>
      <c r="Q90" s="234" t="s">
        <v>70</v>
      </c>
      <c r="R90" s="234" t="s">
        <v>70</v>
      </c>
      <c r="S90" s="234"/>
      <c r="T90" s="234"/>
    </row>
    <row r="91" spans="1:20" customFormat="1" ht="51">
      <c r="A91" s="255" t="s">
        <v>367</v>
      </c>
      <c r="B91" s="254" t="s">
        <v>404</v>
      </c>
      <c r="C91" s="254" t="s">
        <v>383</v>
      </c>
      <c r="D91" s="253" t="s">
        <v>405</v>
      </c>
      <c r="E91" s="253" t="s">
        <v>406</v>
      </c>
      <c r="F91" s="250" t="s">
        <v>75</v>
      </c>
      <c r="G91" s="250" t="s">
        <v>398</v>
      </c>
      <c r="H91" s="255"/>
      <c r="I91" s="249">
        <v>13000</v>
      </c>
      <c r="J91" s="250">
        <v>2</v>
      </c>
      <c r="K91" s="249">
        <v>13000</v>
      </c>
      <c r="L91" s="249">
        <v>1170</v>
      </c>
      <c r="M91" s="249">
        <v>0</v>
      </c>
      <c r="N91" s="248">
        <v>14170</v>
      </c>
      <c r="O91" s="234"/>
      <c r="P91" s="234"/>
      <c r="Q91" s="234"/>
      <c r="R91" s="234"/>
      <c r="S91" s="234"/>
      <c r="T91" s="234"/>
    </row>
    <row r="92" spans="1:20" customFormat="1" ht="102">
      <c r="A92" s="255" t="s">
        <v>367</v>
      </c>
      <c r="B92" s="254" t="s">
        <v>404</v>
      </c>
      <c r="C92" s="254" t="s">
        <v>407</v>
      </c>
      <c r="D92" s="253" t="s">
        <v>408</v>
      </c>
      <c r="E92" s="252" t="s">
        <v>409</v>
      </c>
      <c r="F92" s="250" t="s">
        <v>68</v>
      </c>
      <c r="G92" s="250" t="s">
        <v>410</v>
      </c>
      <c r="H92" s="255" t="s">
        <v>399</v>
      </c>
      <c r="I92" s="249">
        <v>75000</v>
      </c>
      <c r="J92" s="250">
        <v>1</v>
      </c>
      <c r="K92" s="249">
        <v>75000</v>
      </c>
      <c r="L92" s="249">
        <v>6750</v>
      </c>
      <c r="M92" s="249">
        <v>0</v>
      </c>
      <c r="N92" s="248">
        <v>81750</v>
      </c>
      <c r="O92" s="234"/>
      <c r="P92" s="234"/>
      <c r="Q92" s="234"/>
      <c r="R92" s="234"/>
      <c r="S92" s="234"/>
      <c r="T92" s="234"/>
    </row>
    <row r="93" spans="1:20" customFormat="1" ht="135.94999999999999">
      <c r="A93" s="255" t="s">
        <v>395</v>
      </c>
      <c r="B93" s="254" t="s">
        <v>404</v>
      </c>
      <c r="C93" s="254" t="s">
        <v>411</v>
      </c>
      <c r="D93" s="253" t="s">
        <v>412</v>
      </c>
      <c r="E93" s="382" t="s">
        <v>413</v>
      </c>
      <c r="F93" s="250" t="s">
        <v>75</v>
      </c>
      <c r="G93" s="250" t="s">
        <v>393</v>
      </c>
      <c r="H93" s="255" t="s">
        <v>379</v>
      </c>
      <c r="I93" s="249"/>
      <c r="J93" s="250">
        <v>1</v>
      </c>
      <c r="K93" s="249">
        <v>9000</v>
      </c>
      <c r="L93" s="249">
        <v>900</v>
      </c>
      <c r="M93" s="249">
        <v>0</v>
      </c>
      <c r="N93" s="248">
        <v>9900</v>
      </c>
      <c r="O93" s="234"/>
      <c r="P93" s="234"/>
      <c r="Q93" s="234"/>
      <c r="R93" s="234"/>
      <c r="S93" s="234"/>
      <c r="T93" s="234"/>
    </row>
    <row r="94" spans="1:20" customFormat="1" ht="409.6">
      <c r="A94" s="255" t="s">
        <v>395</v>
      </c>
      <c r="B94" s="254" t="s">
        <v>414</v>
      </c>
      <c r="C94" s="254" t="s">
        <v>369</v>
      </c>
      <c r="D94" s="252" t="s">
        <v>415</v>
      </c>
      <c r="E94" s="252" t="s">
        <v>416</v>
      </c>
      <c r="F94" s="250" t="s">
        <v>68</v>
      </c>
      <c r="G94" s="250" t="s">
        <v>378</v>
      </c>
      <c r="H94" s="250" t="s">
        <v>417</v>
      </c>
      <c r="I94" s="249">
        <v>250000</v>
      </c>
      <c r="J94" s="255">
        <v>1</v>
      </c>
      <c r="K94" s="249">
        <v>250000</v>
      </c>
      <c r="L94" s="249">
        <v>22500</v>
      </c>
      <c r="M94" s="249"/>
      <c r="N94" s="248">
        <v>272500</v>
      </c>
      <c r="O94" s="234"/>
      <c r="P94" s="234"/>
      <c r="Q94" s="234"/>
      <c r="R94" s="234"/>
      <c r="S94" s="234"/>
      <c r="T94" s="234"/>
    </row>
    <row r="95" spans="1:20" customFormat="1" ht="102">
      <c r="A95" s="255" t="s">
        <v>367</v>
      </c>
      <c r="B95" s="254" t="s">
        <v>368</v>
      </c>
      <c r="C95" s="254" t="s">
        <v>407</v>
      </c>
      <c r="D95" s="253" t="s">
        <v>418</v>
      </c>
      <c r="E95" s="252" t="s">
        <v>419</v>
      </c>
      <c r="F95" s="250" t="s">
        <v>75</v>
      </c>
      <c r="G95" s="250" t="s">
        <v>420</v>
      </c>
      <c r="H95" s="251"/>
      <c r="I95" s="249">
        <v>20000</v>
      </c>
      <c r="J95" s="250">
        <v>1</v>
      </c>
      <c r="K95" s="249">
        <v>20000</v>
      </c>
      <c r="L95" s="249">
        <v>1800</v>
      </c>
      <c r="M95" s="249"/>
      <c r="N95" s="248">
        <v>21800</v>
      </c>
      <c r="O95" s="234"/>
      <c r="P95" s="234"/>
      <c r="Q95" s="234"/>
      <c r="R95" s="234"/>
      <c r="S95" s="234"/>
      <c r="T95" s="234"/>
    </row>
    <row r="96" spans="1:20" ht="27" customHeight="1">
      <c r="A96" s="370"/>
      <c r="B96" s="370"/>
      <c r="C96" s="370"/>
      <c r="D96" s="370"/>
      <c r="E96" s="370"/>
      <c r="F96" s="371"/>
      <c r="G96" s="371"/>
      <c r="H96" s="371"/>
      <c r="I96" s="370"/>
      <c r="J96" s="370"/>
      <c r="K96" s="370"/>
      <c r="L96" s="370" t="s">
        <v>421</v>
      </c>
      <c r="M96" s="370"/>
      <c r="N96" s="367">
        <f>SUM(N81:N86)</f>
        <v>164200.54999999999</v>
      </c>
      <c r="O96" s="246"/>
      <c r="P96" s="246"/>
      <c r="Q96" s="246"/>
      <c r="R96" s="246"/>
      <c r="S96" s="246"/>
      <c r="T96" s="245"/>
    </row>
    <row r="97" spans="1:20" ht="51">
      <c r="A97" s="344" t="s">
        <v>422</v>
      </c>
      <c r="B97" s="247" t="s">
        <v>423</v>
      </c>
      <c r="C97" s="247" t="s">
        <v>294</v>
      </c>
      <c r="D97" s="346" t="s">
        <v>424</v>
      </c>
      <c r="E97" s="345" t="s">
        <v>425</v>
      </c>
      <c r="F97" s="343"/>
      <c r="G97" s="343"/>
      <c r="H97" s="344"/>
      <c r="I97" s="342"/>
      <c r="J97" s="343"/>
      <c r="K97" s="342"/>
      <c r="L97" s="342"/>
      <c r="M97" s="342"/>
      <c r="N97" s="377">
        <v>20000</v>
      </c>
      <c r="O97" s="246"/>
      <c r="P97" s="246"/>
      <c r="Q97" s="246"/>
      <c r="R97" s="246"/>
      <c r="S97" s="246"/>
      <c r="T97" s="245"/>
    </row>
    <row r="98" spans="1:20" ht="17.100000000000001">
      <c r="A98" s="344" t="s">
        <v>426</v>
      </c>
      <c r="B98" s="247" t="s">
        <v>64</v>
      </c>
      <c r="C98" s="247" t="s">
        <v>294</v>
      </c>
      <c r="D98" s="346" t="s">
        <v>424</v>
      </c>
      <c r="E98" s="345" t="s">
        <v>427</v>
      </c>
      <c r="F98" s="343"/>
      <c r="G98" s="343"/>
      <c r="H98" s="344"/>
      <c r="I98" s="342"/>
      <c r="J98" s="343"/>
      <c r="K98" s="342"/>
      <c r="L98" s="342"/>
      <c r="M98" s="342"/>
      <c r="N98" s="377">
        <v>10000</v>
      </c>
      <c r="O98" s="246"/>
      <c r="P98" s="246"/>
      <c r="Q98" s="246"/>
      <c r="R98" s="246"/>
      <c r="S98" s="246"/>
      <c r="T98" s="245"/>
    </row>
    <row r="99" spans="1:20" ht="51">
      <c r="A99" s="337" t="s">
        <v>428</v>
      </c>
      <c r="B99" s="247" t="s">
        <v>64</v>
      </c>
      <c r="C99" s="247" t="s">
        <v>147</v>
      </c>
      <c r="D99" s="341" t="s">
        <v>273</v>
      </c>
      <c r="E99" s="340" t="s">
        <v>429</v>
      </c>
      <c r="F99" s="339" t="s">
        <v>75</v>
      </c>
      <c r="G99" s="339" t="s">
        <v>69</v>
      </c>
      <c r="H99" s="338" t="s">
        <v>274</v>
      </c>
      <c r="I99" s="336">
        <v>2500</v>
      </c>
      <c r="J99" s="337"/>
      <c r="K99" s="336">
        <v>2500</v>
      </c>
      <c r="L99" s="335">
        <f>K99*0.09</f>
        <v>225</v>
      </c>
      <c r="M99" s="335">
        <v>50</v>
      </c>
      <c r="N99" s="377">
        <f>SUM(K99:M99)</f>
        <v>2775</v>
      </c>
      <c r="O99" s="246"/>
      <c r="P99" s="246"/>
      <c r="Q99" s="246"/>
      <c r="R99" s="246"/>
      <c r="S99" s="246"/>
      <c r="T99" s="245"/>
    </row>
    <row r="100" spans="1:20" ht="51">
      <c r="A100" s="334" t="s">
        <v>428</v>
      </c>
      <c r="B100" s="247" t="s">
        <v>430</v>
      </c>
      <c r="C100" s="247" t="s">
        <v>268</v>
      </c>
      <c r="D100" s="333" t="s">
        <v>269</v>
      </c>
      <c r="E100" s="332" t="s">
        <v>429</v>
      </c>
      <c r="F100" s="330" t="s">
        <v>75</v>
      </c>
      <c r="G100" s="330" t="s">
        <v>69</v>
      </c>
      <c r="H100" s="331" t="s">
        <v>266</v>
      </c>
      <c r="I100" s="329">
        <v>4000</v>
      </c>
      <c r="J100" s="334"/>
      <c r="K100" s="329">
        <v>4000</v>
      </c>
      <c r="L100" s="328">
        <f>K100*0.09</f>
        <v>360</v>
      </c>
      <c r="M100" s="328">
        <v>0</v>
      </c>
      <c r="N100" s="378">
        <f>SUM(K100:M100)</f>
        <v>4360</v>
      </c>
      <c r="O100" s="246"/>
      <c r="P100" s="246"/>
      <c r="Q100" s="246" t="s">
        <v>70</v>
      </c>
      <c r="R100" s="246" t="s">
        <v>70</v>
      </c>
      <c r="S100" s="246"/>
      <c r="T100" s="245"/>
    </row>
    <row r="101" spans="1:20" ht="51">
      <c r="A101" s="334" t="s">
        <v>428</v>
      </c>
      <c r="B101" s="247" t="s">
        <v>430</v>
      </c>
      <c r="C101" s="247" t="s">
        <v>147</v>
      </c>
      <c r="D101" s="333" t="s">
        <v>270</v>
      </c>
      <c r="E101" s="332" t="s">
        <v>429</v>
      </c>
      <c r="F101" s="330" t="s">
        <v>75</v>
      </c>
      <c r="G101" s="330" t="s">
        <v>69</v>
      </c>
      <c r="H101" s="331" t="s">
        <v>266</v>
      </c>
      <c r="I101" s="329">
        <v>3000</v>
      </c>
      <c r="J101" s="334"/>
      <c r="K101" s="329">
        <v>3000</v>
      </c>
      <c r="L101" s="328">
        <f>K101*0.09</f>
        <v>270</v>
      </c>
      <c r="M101" s="328">
        <v>60</v>
      </c>
      <c r="N101" s="378">
        <f>SUM(K101:M101)</f>
        <v>3330</v>
      </c>
      <c r="O101" s="246"/>
      <c r="P101" s="246"/>
      <c r="Q101" s="246" t="s">
        <v>70</v>
      </c>
      <c r="R101" s="246" t="s">
        <v>70</v>
      </c>
      <c r="S101" s="246"/>
      <c r="T101" s="245"/>
    </row>
    <row r="102" spans="1:20" ht="51">
      <c r="A102" s="334" t="s">
        <v>428</v>
      </c>
      <c r="B102" s="247" t="s">
        <v>430</v>
      </c>
      <c r="C102" s="247" t="s">
        <v>431</v>
      </c>
      <c r="D102" s="333" t="s">
        <v>271</v>
      </c>
      <c r="E102" s="332" t="s">
        <v>429</v>
      </c>
      <c r="F102" s="330" t="s">
        <v>75</v>
      </c>
      <c r="G102" s="330" t="s">
        <v>69</v>
      </c>
      <c r="H102" s="331" t="s">
        <v>272</v>
      </c>
      <c r="I102" s="329">
        <v>2000</v>
      </c>
      <c r="J102" s="334"/>
      <c r="K102" s="329">
        <v>2000</v>
      </c>
      <c r="L102" s="328">
        <f>K102*0.09</f>
        <v>180</v>
      </c>
      <c r="M102" s="328">
        <v>40</v>
      </c>
      <c r="N102" s="378">
        <f>SUM(K102:M102)</f>
        <v>2220</v>
      </c>
      <c r="O102" s="246"/>
      <c r="P102" s="246"/>
      <c r="Q102" s="246" t="s">
        <v>70</v>
      </c>
      <c r="R102" s="246" t="s">
        <v>70</v>
      </c>
      <c r="S102" s="246"/>
      <c r="T102" s="245"/>
    </row>
    <row r="103" spans="1:20" ht="51">
      <c r="A103" s="334" t="s">
        <v>428</v>
      </c>
      <c r="B103" s="247" t="s">
        <v>430</v>
      </c>
      <c r="C103" s="247" t="s">
        <v>275</v>
      </c>
      <c r="D103" s="333" t="s">
        <v>276</v>
      </c>
      <c r="E103" s="332" t="s">
        <v>429</v>
      </c>
      <c r="F103" s="330" t="s">
        <v>75</v>
      </c>
      <c r="G103" s="330" t="s">
        <v>69</v>
      </c>
      <c r="H103" s="331" t="s">
        <v>160</v>
      </c>
      <c r="I103" s="329">
        <v>3000</v>
      </c>
      <c r="J103" s="330"/>
      <c r="K103" s="329">
        <v>3000</v>
      </c>
      <c r="L103" s="328">
        <v>0</v>
      </c>
      <c r="M103" s="328">
        <v>0</v>
      </c>
      <c r="N103" s="378">
        <f>SUM(K103:M103)</f>
        <v>3000</v>
      </c>
      <c r="O103" s="246"/>
      <c r="P103" s="246"/>
      <c r="Q103" s="246" t="s">
        <v>70</v>
      </c>
      <c r="R103" s="246" t="s">
        <v>70</v>
      </c>
      <c r="S103" s="246"/>
      <c r="T103" s="245"/>
    </row>
    <row r="104" spans="1:20" ht="51">
      <c r="A104" s="321" t="s">
        <v>432</v>
      </c>
      <c r="B104" s="321" t="s">
        <v>64</v>
      </c>
      <c r="C104" s="321" t="s">
        <v>433</v>
      </c>
      <c r="D104" s="324" t="s">
        <v>434</v>
      </c>
      <c r="E104" s="323" t="s">
        <v>435</v>
      </c>
      <c r="F104" s="322" t="s">
        <v>75</v>
      </c>
      <c r="G104" s="322" t="s">
        <v>69</v>
      </c>
      <c r="H104" s="321" t="s">
        <v>436</v>
      </c>
      <c r="I104" s="320">
        <v>500</v>
      </c>
      <c r="J104" s="319">
        <v>1</v>
      </c>
      <c r="K104" s="318">
        <v>500</v>
      </c>
      <c r="L104" s="318"/>
      <c r="M104" s="318"/>
      <c r="N104" s="379">
        <v>500</v>
      </c>
      <c r="O104" s="246"/>
      <c r="P104" s="246"/>
      <c r="Q104" s="246"/>
      <c r="R104" s="246"/>
      <c r="S104" s="246"/>
      <c r="T104" s="245"/>
    </row>
    <row r="105" spans="1:20" ht="51">
      <c r="A105" s="321" t="s">
        <v>432</v>
      </c>
      <c r="B105" s="321" t="s">
        <v>64</v>
      </c>
      <c r="C105" s="321" t="s">
        <v>433</v>
      </c>
      <c r="D105" s="324" t="s">
        <v>437</v>
      </c>
      <c r="E105" s="323" t="s">
        <v>435</v>
      </c>
      <c r="F105" s="322" t="s">
        <v>75</v>
      </c>
      <c r="G105" s="322" t="s">
        <v>69</v>
      </c>
      <c r="H105" s="321" t="s">
        <v>266</v>
      </c>
      <c r="I105" s="320">
        <v>3000</v>
      </c>
      <c r="J105" s="319">
        <v>1</v>
      </c>
      <c r="K105" s="318">
        <v>3000</v>
      </c>
      <c r="L105" s="318"/>
      <c r="M105" s="318"/>
      <c r="N105" s="379">
        <v>3000</v>
      </c>
      <c r="O105" s="246"/>
      <c r="P105" s="246"/>
      <c r="Q105" s="246" t="s">
        <v>70</v>
      </c>
      <c r="R105" s="246" t="s">
        <v>70</v>
      </c>
      <c r="S105" s="246"/>
      <c r="T105" s="245"/>
    </row>
    <row r="106" spans="1:20" ht="51">
      <c r="A106" s="321" t="s">
        <v>432</v>
      </c>
      <c r="B106" s="321" t="s">
        <v>64</v>
      </c>
      <c r="C106" s="321" t="s">
        <v>438</v>
      </c>
      <c r="D106" s="324" t="s">
        <v>439</v>
      </c>
      <c r="E106" s="323" t="s">
        <v>435</v>
      </c>
      <c r="F106" s="322" t="s">
        <v>75</v>
      </c>
      <c r="G106" s="322" t="s">
        <v>69</v>
      </c>
      <c r="H106" s="321" t="s">
        <v>266</v>
      </c>
      <c r="I106" s="320">
        <v>7500</v>
      </c>
      <c r="J106" s="319">
        <v>1</v>
      </c>
      <c r="K106" s="318">
        <v>7500</v>
      </c>
      <c r="L106" s="318"/>
      <c r="M106" s="318"/>
      <c r="N106" s="379">
        <v>7500</v>
      </c>
      <c r="O106" s="246"/>
      <c r="P106" s="246"/>
      <c r="Q106" s="246" t="s">
        <v>70</v>
      </c>
      <c r="R106" s="246" t="s">
        <v>70</v>
      </c>
      <c r="S106" s="246"/>
      <c r="T106" s="245"/>
    </row>
    <row r="107" spans="1:20" ht="51">
      <c r="A107" s="321" t="s">
        <v>432</v>
      </c>
      <c r="B107" s="321" t="s">
        <v>64</v>
      </c>
      <c r="C107" s="321" t="s">
        <v>438</v>
      </c>
      <c r="D107" s="324" t="s">
        <v>440</v>
      </c>
      <c r="E107" s="323" t="s">
        <v>435</v>
      </c>
      <c r="F107" s="322" t="s">
        <v>75</v>
      </c>
      <c r="G107" s="322" t="s">
        <v>69</v>
      </c>
      <c r="H107" s="322" t="s">
        <v>266</v>
      </c>
      <c r="I107" s="320">
        <v>3107</v>
      </c>
      <c r="J107" s="327">
        <v>1</v>
      </c>
      <c r="K107" s="318">
        <v>3107</v>
      </c>
      <c r="L107" s="318">
        <v>279.63</v>
      </c>
      <c r="M107" s="318">
        <v>150</v>
      </c>
      <c r="N107" s="379">
        <v>3536.63</v>
      </c>
      <c r="O107" s="246"/>
      <c r="P107" s="246"/>
      <c r="Q107" s="246" t="s">
        <v>70</v>
      </c>
      <c r="R107" s="246" t="s">
        <v>70</v>
      </c>
      <c r="S107" s="246"/>
      <c r="T107" s="245"/>
    </row>
    <row r="108" spans="1:20" ht="51">
      <c r="A108" s="321" t="s">
        <v>432</v>
      </c>
      <c r="B108" s="321" t="s">
        <v>64</v>
      </c>
      <c r="C108" s="321" t="s">
        <v>433</v>
      </c>
      <c r="D108" s="324" t="s">
        <v>441</v>
      </c>
      <c r="E108" s="323" t="s">
        <v>435</v>
      </c>
      <c r="F108" s="322" t="s">
        <v>442</v>
      </c>
      <c r="G108" s="322" t="s">
        <v>69</v>
      </c>
      <c r="H108" s="318" t="s">
        <v>71</v>
      </c>
      <c r="I108" s="326">
        <v>5000</v>
      </c>
      <c r="J108" s="325">
        <v>1</v>
      </c>
      <c r="K108" s="318">
        <v>5000</v>
      </c>
      <c r="L108" s="318" t="s">
        <v>71</v>
      </c>
      <c r="M108" s="318"/>
      <c r="N108" s="379">
        <v>5000</v>
      </c>
      <c r="O108" s="246"/>
      <c r="P108" s="246"/>
      <c r="Q108" s="246" t="s">
        <v>70</v>
      </c>
      <c r="R108" s="246" t="s">
        <v>70</v>
      </c>
      <c r="S108" s="246"/>
      <c r="T108" s="245"/>
    </row>
    <row r="109" spans="1:20" ht="51">
      <c r="A109" s="321" t="s">
        <v>432</v>
      </c>
      <c r="B109" s="321" t="s">
        <v>64</v>
      </c>
      <c r="C109" s="321" t="s">
        <v>433</v>
      </c>
      <c r="D109" s="324" t="s">
        <v>443</v>
      </c>
      <c r="E109" s="323" t="s">
        <v>435</v>
      </c>
      <c r="F109" s="322" t="s">
        <v>442</v>
      </c>
      <c r="G109" s="322" t="s">
        <v>69</v>
      </c>
      <c r="H109" s="321"/>
      <c r="I109" s="320">
        <v>10000</v>
      </c>
      <c r="J109" s="319">
        <v>1</v>
      </c>
      <c r="K109" s="318">
        <v>10000</v>
      </c>
      <c r="L109" s="318"/>
      <c r="M109" s="318"/>
      <c r="N109" s="379">
        <v>10000</v>
      </c>
      <c r="O109" s="246"/>
      <c r="P109" s="246"/>
      <c r="Q109" s="246" t="s">
        <v>70</v>
      </c>
      <c r="R109" s="246" t="s">
        <v>70</v>
      </c>
      <c r="S109" s="246"/>
      <c r="T109" s="245"/>
    </row>
    <row r="110" spans="1:20" ht="51">
      <c r="A110" s="321" t="s">
        <v>432</v>
      </c>
      <c r="B110" s="321" t="s">
        <v>64</v>
      </c>
      <c r="C110" s="321" t="s">
        <v>105</v>
      </c>
      <c r="D110" s="324" t="s">
        <v>444</v>
      </c>
      <c r="E110" s="323" t="s">
        <v>435</v>
      </c>
      <c r="F110" s="322" t="s">
        <v>442</v>
      </c>
      <c r="G110" s="322" t="s">
        <v>69</v>
      </c>
      <c r="H110" s="321"/>
      <c r="I110" s="320">
        <v>7500</v>
      </c>
      <c r="J110" s="319">
        <v>1</v>
      </c>
      <c r="K110" s="318">
        <v>5000</v>
      </c>
      <c r="L110" s="318"/>
      <c r="M110" s="318"/>
      <c r="N110" s="379">
        <v>5000</v>
      </c>
      <c r="O110" s="246"/>
      <c r="P110" s="246"/>
      <c r="Q110" s="246" t="s">
        <v>70</v>
      </c>
      <c r="R110" s="246" t="s">
        <v>70</v>
      </c>
      <c r="S110" s="246"/>
      <c r="T110" s="245"/>
    </row>
    <row r="111" spans="1:20" ht="51">
      <c r="A111" s="321" t="s">
        <v>432</v>
      </c>
      <c r="B111" s="321" t="s">
        <v>64</v>
      </c>
      <c r="C111" s="321" t="s">
        <v>433</v>
      </c>
      <c r="D111" s="324" t="s">
        <v>445</v>
      </c>
      <c r="E111" s="323" t="s">
        <v>435</v>
      </c>
      <c r="F111" s="322" t="s">
        <v>442</v>
      </c>
      <c r="G111" s="322" t="s">
        <v>69</v>
      </c>
      <c r="H111" s="321"/>
      <c r="I111" s="320">
        <v>5000</v>
      </c>
      <c r="J111" s="319">
        <v>1</v>
      </c>
      <c r="K111" s="318">
        <v>5000</v>
      </c>
      <c r="L111" s="318"/>
      <c r="M111" s="318"/>
      <c r="N111" s="379">
        <v>5000</v>
      </c>
      <c r="O111" s="246"/>
      <c r="P111" s="246"/>
      <c r="Q111" s="246" t="s">
        <v>70</v>
      </c>
      <c r="R111" s="246" t="s">
        <v>70</v>
      </c>
      <c r="S111" s="246"/>
      <c r="T111" s="245"/>
    </row>
    <row r="112" spans="1:20" ht="51">
      <c r="A112" s="321" t="s">
        <v>432</v>
      </c>
      <c r="B112" s="321" t="s">
        <v>64</v>
      </c>
      <c r="C112" s="321" t="s">
        <v>433</v>
      </c>
      <c r="D112" s="324" t="s">
        <v>446</v>
      </c>
      <c r="E112" s="323" t="s">
        <v>435</v>
      </c>
      <c r="F112" s="322" t="s">
        <v>75</v>
      </c>
      <c r="G112" s="322" t="s">
        <v>69</v>
      </c>
      <c r="H112" s="321" t="s">
        <v>266</v>
      </c>
      <c r="I112" s="320">
        <v>3000</v>
      </c>
      <c r="J112" s="319">
        <v>1</v>
      </c>
      <c r="K112" s="318">
        <v>3000</v>
      </c>
      <c r="L112" s="318"/>
      <c r="M112" s="318"/>
      <c r="N112" s="379">
        <v>3000</v>
      </c>
      <c r="O112" s="246"/>
      <c r="P112" s="246"/>
      <c r="Q112" s="246" t="s">
        <v>70</v>
      </c>
      <c r="R112" s="246" t="s">
        <v>70</v>
      </c>
      <c r="S112" s="246"/>
      <c r="T112" s="245"/>
    </row>
    <row r="113" spans="1:20" ht="51">
      <c r="A113" s="321" t="s">
        <v>432</v>
      </c>
      <c r="B113" s="321" t="s">
        <v>64</v>
      </c>
      <c r="C113" s="321" t="s">
        <v>447</v>
      </c>
      <c r="D113" s="324" t="s">
        <v>448</v>
      </c>
      <c r="E113" s="323" t="s">
        <v>435</v>
      </c>
      <c r="F113" s="322" t="s">
        <v>75</v>
      </c>
      <c r="G113" s="322" t="s">
        <v>69</v>
      </c>
      <c r="H113" s="321"/>
      <c r="I113" s="320">
        <v>50000</v>
      </c>
      <c r="J113" s="319">
        <v>1</v>
      </c>
      <c r="K113" s="318">
        <v>50000</v>
      </c>
      <c r="L113" s="318"/>
      <c r="M113" s="318"/>
      <c r="N113" s="379">
        <v>50000</v>
      </c>
      <c r="O113" s="246"/>
      <c r="P113" s="246"/>
      <c r="Q113" s="246" t="s">
        <v>70</v>
      </c>
      <c r="R113" s="246" t="s">
        <v>70</v>
      </c>
      <c r="S113" s="246"/>
      <c r="T113" s="245"/>
    </row>
    <row r="114" spans="1:20" ht="51">
      <c r="A114" s="321" t="s">
        <v>432</v>
      </c>
      <c r="B114" s="321" t="s">
        <v>64</v>
      </c>
      <c r="C114" s="321" t="s">
        <v>447</v>
      </c>
      <c r="D114" s="324" t="s">
        <v>449</v>
      </c>
      <c r="E114" s="323" t="s">
        <v>435</v>
      </c>
      <c r="F114" s="322" t="s">
        <v>75</v>
      </c>
      <c r="G114" s="322" t="s">
        <v>69</v>
      </c>
      <c r="H114" s="321"/>
      <c r="I114" s="320">
        <v>35000</v>
      </c>
      <c r="J114" s="319">
        <v>1</v>
      </c>
      <c r="K114" s="318">
        <v>35000</v>
      </c>
      <c r="L114" s="318"/>
      <c r="M114" s="318"/>
      <c r="N114" s="379">
        <v>35000</v>
      </c>
      <c r="O114" s="246"/>
      <c r="P114" s="246"/>
      <c r="Q114" s="246" t="s">
        <v>70</v>
      </c>
      <c r="R114" s="246" t="s">
        <v>70</v>
      </c>
      <c r="S114" s="246"/>
      <c r="T114" s="245"/>
    </row>
    <row r="115" spans="1:20" customFormat="1" ht="51">
      <c r="A115" s="289" t="s">
        <v>422</v>
      </c>
      <c r="B115" s="289" t="s">
        <v>64</v>
      </c>
      <c r="C115" s="289" t="s">
        <v>438</v>
      </c>
      <c r="D115" s="292" t="s">
        <v>450</v>
      </c>
      <c r="E115" s="291" t="s">
        <v>451</v>
      </c>
      <c r="F115" s="290" t="s">
        <v>75</v>
      </c>
      <c r="G115" s="290" t="s">
        <v>69</v>
      </c>
      <c r="H115" s="290" t="s">
        <v>266</v>
      </c>
      <c r="I115" s="288">
        <v>8000</v>
      </c>
      <c r="J115" s="394">
        <v>2</v>
      </c>
      <c r="K115" s="287">
        <v>16000</v>
      </c>
      <c r="L115" s="287">
        <v>1440</v>
      </c>
      <c r="M115" s="287">
        <v>150</v>
      </c>
      <c r="N115" s="286">
        <v>17590</v>
      </c>
      <c r="O115" s="234"/>
      <c r="P115" s="234"/>
      <c r="Q115" s="234" t="s">
        <v>70</v>
      </c>
      <c r="R115" s="234" t="s">
        <v>70</v>
      </c>
      <c r="S115" s="234"/>
      <c r="T115" s="234"/>
    </row>
    <row r="116" spans="1:20" customFormat="1" ht="51">
      <c r="A116" s="289" t="s">
        <v>432</v>
      </c>
      <c r="B116" s="289" t="s">
        <v>64</v>
      </c>
      <c r="C116" s="289" t="s">
        <v>438</v>
      </c>
      <c r="D116" s="292" t="s">
        <v>452</v>
      </c>
      <c r="E116" s="291" t="s">
        <v>435</v>
      </c>
      <c r="F116" s="290" t="s">
        <v>75</v>
      </c>
      <c r="G116" s="290" t="s">
        <v>69</v>
      </c>
      <c r="H116" s="290" t="s">
        <v>266</v>
      </c>
      <c r="I116" s="288">
        <v>947</v>
      </c>
      <c r="J116" s="394">
        <v>1</v>
      </c>
      <c r="K116" s="287">
        <v>947</v>
      </c>
      <c r="L116" s="287">
        <v>85.22999999999999</v>
      </c>
      <c r="M116" s="287">
        <v>0</v>
      </c>
      <c r="N116" s="286">
        <v>1032.23</v>
      </c>
      <c r="O116" s="234"/>
      <c r="P116" s="234"/>
      <c r="Q116" s="234" t="s">
        <v>70</v>
      </c>
      <c r="R116" s="234" t="s">
        <v>70</v>
      </c>
      <c r="S116" s="234"/>
      <c r="T116" s="234"/>
    </row>
    <row r="117" spans="1:20" customFormat="1" ht="51">
      <c r="A117" s="260" t="s">
        <v>432</v>
      </c>
      <c r="B117" s="264" t="s">
        <v>430</v>
      </c>
      <c r="C117" s="264" t="s">
        <v>105</v>
      </c>
      <c r="D117" s="263" t="s">
        <v>453</v>
      </c>
      <c r="E117" s="262" t="s">
        <v>435</v>
      </c>
      <c r="F117" s="261" t="s">
        <v>442</v>
      </c>
      <c r="G117" s="261" t="s">
        <v>69</v>
      </c>
      <c r="H117" s="260" t="s">
        <v>274</v>
      </c>
      <c r="I117" s="259">
        <v>3000</v>
      </c>
      <c r="J117" s="258">
        <v>1</v>
      </c>
      <c r="K117" s="257">
        <v>3000</v>
      </c>
      <c r="L117" s="257"/>
      <c r="M117" s="257"/>
      <c r="N117" s="256">
        <v>3000</v>
      </c>
      <c r="O117" s="234"/>
      <c r="P117" s="234"/>
      <c r="Q117" s="234"/>
      <c r="R117" s="234"/>
      <c r="S117" s="234"/>
      <c r="T117" s="234"/>
    </row>
    <row r="118" spans="1:20" customFormat="1" ht="17.100000000000001" customHeight="1">
      <c r="A118" s="396"/>
      <c r="B118" s="396"/>
      <c r="C118" s="396"/>
      <c r="D118" s="396"/>
      <c r="E118" s="396"/>
      <c r="F118" s="396"/>
      <c r="G118" s="396"/>
      <c r="H118" s="396"/>
      <c r="I118" s="396"/>
      <c r="J118" s="396"/>
      <c r="K118" s="396"/>
      <c r="L118" s="396"/>
      <c r="M118" s="396"/>
      <c r="N118" s="396"/>
      <c r="O118" s="396"/>
      <c r="P118" s="396"/>
      <c r="Q118" s="396"/>
      <c r="R118" s="396"/>
      <c r="S118" s="396"/>
      <c r="T118" s="396"/>
    </row>
    <row r="119" spans="1:20" customFormat="1"/>
    <row r="120" spans="1:20" customFormat="1">
      <c r="A120" s="400"/>
      <c r="B120" s="401"/>
      <c r="C120" s="402"/>
      <c r="D120" s="403"/>
      <c r="E120" s="404"/>
      <c r="F120" s="405"/>
      <c r="G120" s="405"/>
      <c r="H120" s="400"/>
      <c r="I120" s="406"/>
      <c r="J120" s="405"/>
      <c r="K120" s="407"/>
      <c r="L120" s="407"/>
      <c r="M120" s="407"/>
      <c r="N120" s="408"/>
    </row>
    <row r="121" spans="1:20">
      <c r="A121" s="409"/>
      <c r="B121" s="409"/>
      <c r="C121" s="409"/>
      <c r="D121" s="410"/>
      <c r="E121" s="411"/>
      <c r="F121" s="412"/>
      <c r="G121" s="412"/>
      <c r="H121" s="409"/>
      <c r="I121" s="413"/>
      <c r="J121" s="414"/>
      <c r="K121" s="415"/>
      <c r="L121" s="415"/>
      <c r="M121" s="415"/>
      <c r="N121" s="416"/>
    </row>
    <row r="123" spans="1:20">
      <c r="A123" s="730" t="s">
        <v>262</v>
      </c>
      <c r="B123" s="730"/>
      <c r="C123" s="730"/>
      <c r="D123" s="730"/>
      <c r="E123" s="730"/>
      <c r="F123" s="730"/>
      <c r="G123" s="730"/>
      <c r="H123" s="730"/>
      <c r="I123" s="730"/>
      <c r="J123" s="730"/>
      <c r="K123" s="730"/>
      <c r="L123" s="730"/>
      <c r="M123" s="730"/>
      <c r="N123" s="397">
        <f>SUM(N97:N121)</f>
        <v>194843.86000000002</v>
      </c>
      <c r="O123" s="398"/>
      <c r="P123" s="398"/>
      <c r="Q123" s="398"/>
      <c r="R123" s="398"/>
      <c r="S123" s="398"/>
      <c r="T123" s="399"/>
    </row>
    <row r="126" spans="1:20">
      <c r="M126" s="188" t="s">
        <v>454</v>
      </c>
      <c r="N126" s="244">
        <v>1013787.44</v>
      </c>
    </row>
  </sheetData>
  <mergeCells count="14">
    <mergeCell ref="A123:M123"/>
    <mergeCell ref="T4:T5"/>
    <mergeCell ref="B1:N1"/>
    <mergeCell ref="B2:R2"/>
    <mergeCell ref="B3:R3"/>
    <mergeCell ref="A4:N4"/>
    <mergeCell ref="O4:S4"/>
    <mergeCell ref="B50:N50"/>
    <mergeCell ref="A34:M34"/>
    <mergeCell ref="A49:M49"/>
    <mergeCell ref="A27:M27"/>
    <mergeCell ref="E47:E48"/>
    <mergeCell ref="E35:E46"/>
    <mergeCell ref="E6:E26"/>
  </mergeCells>
  <dataValidations count="1">
    <dataValidation allowBlank="1" showInputMessage="1" showErrorMessage="1" promptTitle="Enter Justification" sqref="E6 E35 E97 E71 E28:E33 E115:E117" xr:uid="{00000000-0002-0000-0000-000000000000}"/>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55CA-4093-0F41-A58A-1BF147806512}">
  <dimension ref="A1:T18"/>
  <sheetViews>
    <sheetView zoomScale="110" zoomScaleNormal="110" workbookViewId="0">
      <pane ySplit="5" topLeftCell="A6" activePane="bottomLeft" state="frozen"/>
      <selection pane="bottomLeft" activeCell="O1" sqref="O1"/>
    </sheetView>
  </sheetViews>
  <sheetFormatPr defaultColWidth="8.875" defaultRowHeight="15.95"/>
  <cols>
    <col min="1" max="3" width="8.875" style="5"/>
    <col min="4" max="4" width="31.625" style="5" customWidth="1"/>
    <col min="5" max="5" width="32.625" style="5" hidden="1" customWidth="1"/>
    <col min="6" max="8" width="0" style="178" hidden="1" customWidth="1"/>
    <col min="9" max="9" width="10.125" style="5" customWidth="1"/>
    <col min="10" max="10" width="8.875" style="5"/>
    <col min="11" max="11" width="9.5" style="5" bestFit="1" customWidth="1"/>
    <col min="12" max="12" width="10.625" style="5" hidden="1" customWidth="1"/>
    <col min="13" max="13" width="0" style="5" hidden="1" customWidth="1"/>
    <col min="14" max="14" width="14.625" style="5" customWidth="1"/>
    <col min="15" max="15" width="11.5" style="5" customWidth="1"/>
    <col min="16" max="16" width="15.125" style="5" customWidth="1"/>
    <col min="17" max="17" width="11.125" style="5" customWidth="1"/>
    <col min="18" max="18" width="13.125" style="5" customWidth="1"/>
    <col min="19" max="19" width="11.125" style="5" customWidth="1"/>
    <col min="20" max="20" width="36.875" style="177" customWidth="1"/>
    <col min="21" max="16384" width="8.875" style="5"/>
  </cols>
  <sheetData>
    <row r="1" spans="1:20">
      <c r="A1" s="1"/>
      <c r="B1" s="725" t="s">
        <v>40</v>
      </c>
      <c r="C1" s="725"/>
      <c r="D1" s="725"/>
      <c r="E1" s="725"/>
      <c r="F1" s="725"/>
      <c r="G1" s="725"/>
      <c r="H1" s="725"/>
      <c r="I1" s="725"/>
      <c r="J1" s="725"/>
      <c r="K1" s="725"/>
      <c r="L1" s="725"/>
      <c r="M1" s="725"/>
      <c r="N1" s="725"/>
      <c r="O1" s="2"/>
      <c r="P1" s="2"/>
      <c r="Q1" s="2"/>
      <c r="R1" s="2"/>
      <c r="S1" s="1"/>
      <c r="T1" s="4"/>
    </row>
    <row r="2" spans="1:20" ht="15.95" customHeight="1">
      <c r="A2" s="1"/>
      <c r="B2" s="726" t="s">
        <v>455</v>
      </c>
      <c r="C2" s="732"/>
      <c r="D2" s="733"/>
      <c r="E2" s="733"/>
      <c r="F2" s="733"/>
      <c r="G2" s="733"/>
      <c r="H2" s="733"/>
      <c r="I2" s="733"/>
      <c r="J2" s="733"/>
      <c r="K2" s="733"/>
      <c r="L2" s="733"/>
      <c r="M2" s="733"/>
      <c r="N2" s="733"/>
      <c r="O2" s="733"/>
      <c r="P2" s="733"/>
      <c r="Q2" s="733"/>
      <c r="R2" s="734"/>
      <c r="S2" s="1"/>
      <c r="T2" s="696" t="s">
        <v>456</v>
      </c>
    </row>
    <row r="3" spans="1:20" ht="35.1" customHeight="1">
      <c r="A3" s="1"/>
      <c r="B3" s="727" t="s">
        <v>42</v>
      </c>
      <c r="C3" s="735"/>
      <c r="D3" s="736"/>
      <c r="E3" s="736"/>
      <c r="F3" s="736"/>
      <c r="G3" s="736"/>
      <c r="H3" s="736"/>
      <c r="I3" s="736"/>
      <c r="J3" s="736"/>
      <c r="K3" s="736"/>
      <c r="L3" s="736"/>
      <c r="M3" s="736"/>
      <c r="N3" s="736"/>
      <c r="O3" s="736"/>
      <c r="P3" s="736"/>
      <c r="Q3" s="736"/>
      <c r="R3" s="736"/>
      <c r="S3" s="1"/>
      <c r="T3" s="696" t="s">
        <v>457</v>
      </c>
    </row>
    <row r="4" spans="1:20" ht="23.1">
      <c r="A4" s="728"/>
      <c r="B4" s="728"/>
      <c r="C4" s="728"/>
      <c r="D4" s="728"/>
      <c r="E4" s="728"/>
      <c r="F4" s="728"/>
      <c r="G4" s="728"/>
      <c r="H4" s="728"/>
      <c r="I4" s="728"/>
      <c r="J4" s="728"/>
      <c r="K4" s="728"/>
      <c r="L4" s="728"/>
      <c r="M4" s="728"/>
      <c r="N4" s="728"/>
      <c r="O4" s="729" t="s">
        <v>43</v>
      </c>
      <c r="P4" s="729"/>
      <c r="Q4" s="729"/>
      <c r="R4" s="729"/>
      <c r="S4" s="746"/>
      <c r="T4" s="724" t="s">
        <v>44</v>
      </c>
    </row>
    <row r="5" spans="1:20" ht="50.1" customHeight="1">
      <c r="A5" s="7" t="s">
        <v>45</v>
      </c>
      <c r="B5" s="8" t="s">
        <v>46</v>
      </c>
      <c r="C5" s="8" t="s">
        <v>47</v>
      </c>
      <c r="D5" s="9" t="s">
        <v>48</v>
      </c>
      <c r="E5" s="9" t="s">
        <v>49</v>
      </c>
      <c r="F5" s="7" t="s">
        <v>50</v>
      </c>
      <c r="G5" s="7" t="s">
        <v>51</v>
      </c>
      <c r="H5" s="7" t="s">
        <v>52</v>
      </c>
      <c r="I5" s="7" t="s">
        <v>53</v>
      </c>
      <c r="J5" s="7" t="s">
        <v>54</v>
      </c>
      <c r="K5" s="10" t="s">
        <v>55</v>
      </c>
      <c r="L5" s="7" t="s">
        <v>458</v>
      </c>
      <c r="M5" s="7" t="s">
        <v>57</v>
      </c>
      <c r="N5" s="7" t="s">
        <v>58</v>
      </c>
      <c r="O5" s="11" t="s">
        <v>59</v>
      </c>
      <c r="P5" s="11" t="s">
        <v>60</v>
      </c>
      <c r="Q5" s="11" t="s">
        <v>61</v>
      </c>
      <c r="R5" s="11" t="s">
        <v>62</v>
      </c>
      <c r="S5" s="143" t="s">
        <v>63</v>
      </c>
      <c r="T5" s="745"/>
    </row>
    <row r="6" spans="1:20" ht="57.95" customHeight="1">
      <c r="A6" s="686" t="s">
        <v>459</v>
      </c>
      <c r="B6" s="695" t="s">
        <v>64</v>
      </c>
      <c r="C6" s="51" t="s">
        <v>65</v>
      </c>
      <c r="D6" s="684" t="s">
        <v>460</v>
      </c>
      <c r="E6" s="683" t="s">
        <v>461</v>
      </c>
      <c r="F6" s="20" t="s">
        <v>75</v>
      </c>
      <c r="G6" s="20" t="s">
        <v>69</v>
      </c>
      <c r="H6" s="20" t="s">
        <v>375</v>
      </c>
      <c r="I6" s="52">
        <v>2303</v>
      </c>
      <c r="J6" s="20">
        <v>8</v>
      </c>
      <c r="K6" s="52">
        <f>SUM(I6)*J6</f>
        <v>18424</v>
      </c>
      <c r="L6" s="52">
        <f>SUM(K6)*0.09125</f>
        <v>1681.19</v>
      </c>
      <c r="M6" s="52">
        <v>0</v>
      </c>
      <c r="N6" s="674">
        <f t="shared" ref="N6:N13" si="0">SUM(K6:M6)</f>
        <v>20105.189999999999</v>
      </c>
      <c r="O6" s="16" t="s">
        <v>462</v>
      </c>
      <c r="P6" s="36" t="s">
        <v>462</v>
      </c>
      <c r="Q6" s="36" t="s">
        <v>462</v>
      </c>
      <c r="R6" s="36" t="s">
        <v>462</v>
      </c>
      <c r="S6" s="148"/>
      <c r="T6" s="659" t="s">
        <v>463</v>
      </c>
    </row>
    <row r="7" spans="1:20" ht="51" customHeight="1">
      <c r="A7" s="686" t="s">
        <v>464</v>
      </c>
      <c r="B7" s="695" t="s">
        <v>64</v>
      </c>
      <c r="C7" s="51" t="s">
        <v>65</v>
      </c>
      <c r="D7" s="684" t="s">
        <v>465</v>
      </c>
      <c r="E7" s="683" t="s">
        <v>466</v>
      </c>
      <c r="F7" s="20" t="s">
        <v>75</v>
      </c>
      <c r="G7" s="20" t="s">
        <v>76</v>
      </c>
      <c r="H7" s="20" t="s">
        <v>467</v>
      </c>
      <c r="I7" s="52">
        <v>24000</v>
      </c>
      <c r="J7" s="20">
        <v>1</v>
      </c>
      <c r="K7" s="52">
        <f>SUM(I7)*J7</f>
        <v>24000</v>
      </c>
      <c r="L7" s="52">
        <f>SUM(K7)*0.09125</f>
        <v>2190</v>
      </c>
      <c r="M7" s="52">
        <v>100</v>
      </c>
      <c r="N7" s="674">
        <f t="shared" si="0"/>
        <v>26290</v>
      </c>
      <c r="O7" s="16"/>
      <c r="P7" s="36" t="s">
        <v>462</v>
      </c>
      <c r="Q7" s="36" t="s">
        <v>462</v>
      </c>
      <c r="R7" s="36"/>
      <c r="S7" s="148"/>
      <c r="T7" s="659" t="s">
        <v>468</v>
      </c>
    </row>
    <row r="8" spans="1:20" ht="54.95" customHeight="1">
      <c r="A8" s="686" t="s">
        <v>464</v>
      </c>
      <c r="B8" s="51" t="s">
        <v>87</v>
      </c>
      <c r="C8" s="51" t="s">
        <v>65</v>
      </c>
      <c r="D8" s="691" t="s">
        <v>469</v>
      </c>
      <c r="E8" s="683" t="s">
        <v>470</v>
      </c>
      <c r="F8" s="690" t="s">
        <v>75</v>
      </c>
      <c r="G8" s="690" t="s">
        <v>69</v>
      </c>
      <c r="H8" s="689" t="s">
        <v>266</v>
      </c>
      <c r="I8" s="694">
        <v>9250</v>
      </c>
      <c r="J8" s="26">
        <v>10</v>
      </c>
      <c r="K8" s="52">
        <f>SUM(I8)*J8</f>
        <v>92500</v>
      </c>
      <c r="L8" s="52">
        <f>SUM(K8)*0.09125</f>
        <v>8440.625</v>
      </c>
      <c r="M8" s="231">
        <v>0</v>
      </c>
      <c r="N8" s="674">
        <f t="shared" si="0"/>
        <v>100940.625</v>
      </c>
      <c r="O8" s="16"/>
      <c r="P8" s="16" t="s">
        <v>462</v>
      </c>
      <c r="Q8" s="16" t="s">
        <v>462</v>
      </c>
      <c r="R8" s="16"/>
      <c r="S8" s="148"/>
      <c r="T8" s="284" t="s">
        <v>471</v>
      </c>
    </row>
    <row r="9" spans="1:20" ht="24" customHeight="1">
      <c r="A9" s="686" t="s">
        <v>464</v>
      </c>
      <c r="B9" s="685" t="s">
        <v>64</v>
      </c>
      <c r="C9" s="693" t="s">
        <v>147</v>
      </c>
      <c r="D9" s="691" t="s">
        <v>472</v>
      </c>
      <c r="E9" s="691" t="s">
        <v>473</v>
      </c>
      <c r="F9" s="690" t="s">
        <v>75</v>
      </c>
      <c r="G9" s="690" t="s">
        <v>76</v>
      </c>
      <c r="H9" s="689">
        <v>1</v>
      </c>
      <c r="I9" s="688">
        <v>5500</v>
      </c>
      <c r="J9" s="687" t="s">
        <v>160</v>
      </c>
      <c r="K9" s="688">
        <v>5500</v>
      </c>
      <c r="L9" s="50">
        <v>0</v>
      </c>
      <c r="M9" s="687">
        <v>0</v>
      </c>
      <c r="N9" s="674">
        <f t="shared" si="0"/>
        <v>5500</v>
      </c>
      <c r="O9" s="36"/>
      <c r="P9" s="36"/>
      <c r="Q9" s="36" t="s">
        <v>462</v>
      </c>
      <c r="R9" s="36" t="s">
        <v>462</v>
      </c>
      <c r="S9" s="146"/>
      <c r="T9" s="284" t="s">
        <v>474</v>
      </c>
    </row>
    <row r="10" spans="1:20" ht="24" customHeight="1">
      <c r="A10" s="686" t="s">
        <v>464</v>
      </c>
      <c r="B10" s="685" t="s">
        <v>64</v>
      </c>
      <c r="C10" s="686" t="s">
        <v>147</v>
      </c>
      <c r="D10" s="692" t="s">
        <v>475</v>
      </c>
      <c r="E10" s="691" t="s">
        <v>476</v>
      </c>
      <c r="F10" s="690" t="s">
        <v>75</v>
      </c>
      <c r="G10" s="690" t="s">
        <v>76</v>
      </c>
      <c r="H10" s="689">
        <v>1</v>
      </c>
      <c r="I10" s="688">
        <v>6000</v>
      </c>
      <c r="J10" s="687" t="s">
        <v>160</v>
      </c>
      <c r="K10" s="688">
        <v>6000</v>
      </c>
      <c r="L10" s="50">
        <v>0</v>
      </c>
      <c r="M10" s="687">
        <v>0</v>
      </c>
      <c r="N10" s="674">
        <f t="shared" si="0"/>
        <v>6000</v>
      </c>
      <c r="O10" s="36"/>
      <c r="P10" s="36"/>
      <c r="Q10" s="36" t="s">
        <v>462</v>
      </c>
      <c r="R10" s="36" t="s">
        <v>462</v>
      </c>
      <c r="S10" s="146"/>
      <c r="T10" s="284" t="s">
        <v>474</v>
      </c>
    </row>
    <row r="11" spans="1:20" ht="78.95" customHeight="1">
      <c r="A11" s="686" t="s">
        <v>464</v>
      </c>
      <c r="B11" s="685" t="s">
        <v>64</v>
      </c>
      <c r="C11" s="32" t="s">
        <v>147</v>
      </c>
      <c r="D11" s="684" t="s">
        <v>477</v>
      </c>
      <c r="E11" s="683" t="s">
        <v>466</v>
      </c>
      <c r="F11" s="20" t="s">
        <v>75</v>
      </c>
      <c r="G11" s="20" t="s">
        <v>69</v>
      </c>
      <c r="H11" s="20">
        <v>1</v>
      </c>
      <c r="I11" s="50">
        <v>6000</v>
      </c>
      <c r="J11" s="20">
        <v>1</v>
      </c>
      <c r="K11" s="50">
        <f t="shared" ref="K11:K16" si="1">SUM(I11)*J11</f>
        <v>6000</v>
      </c>
      <c r="L11" s="50">
        <f>SUM(K11)*0.09125</f>
        <v>547.5</v>
      </c>
      <c r="M11" s="50">
        <v>0</v>
      </c>
      <c r="N11" s="674">
        <f t="shared" si="0"/>
        <v>6547.5</v>
      </c>
      <c r="O11" s="36"/>
      <c r="P11" s="36"/>
      <c r="Q11" s="36" t="s">
        <v>462</v>
      </c>
      <c r="R11" s="36"/>
      <c r="S11" s="146"/>
      <c r="T11" s="682" t="s">
        <v>478</v>
      </c>
    </row>
    <row r="12" spans="1:20" ht="48.95" customHeight="1">
      <c r="A12" s="681" t="s">
        <v>464</v>
      </c>
      <c r="B12" s="680" t="s">
        <v>87</v>
      </c>
      <c r="C12" s="679" t="s">
        <v>65</v>
      </c>
      <c r="D12" s="678" t="s">
        <v>479</v>
      </c>
      <c r="E12" s="677" t="s">
        <v>466</v>
      </c>
      <c r="F12" s="675" t="s">
        <v>75</v>
      </c>
      <c r="G12" s="675" t="s">
        <v>69</v>
      </c>
      <c r="H12" s="675">
        <v>10</v>
      </c>
      <c r="I12" s="676">
        <v>99</v>
      </c>
      <c r="J12" s="675">
        <v>31</v>
      </c>
      <c r="K12" s="50">
        <f t="shared" si="1"/>
        <v>3069</v>
      </c>
      <c r="L12" s="50">
        <f>SUM(K12)*0.09125</f>
        <v>280.04624999999999</v>
      </c>
      <c r="M12" s="50"/>
      <c r="N12" s="674">
        <f t="shared" si="0"/>
        <v>3349.0462499999999</v>
      </c>
      <c r="O12" s="36"/>
      <c r="P12" s="36"/>
      <c r="Q12" s="36" t="s">
        <v>462</v>
      </c>
      <c r="R12" s="36" t="s">
        <v>462</v>
      </c>
      <c r="S12" s="670"/>
      <c r="T12" s="284" t="s">
        <v>480</v>
      </c>
    </row>
    <row r="13" spans="1:20" ht="42" customHeight="1">
      <c r="A13" s="20" t="s">
        <v>481</v>
      </c>
      <c r="B13" s="32" t="s">
        <v>87</v>
      </c>
      <c r="C13" s="32" t="s">
        <v>65</v>
      </c>
      <c r="D13" s="13" t="s">
        <v>482</v>
      </c>
      <c r="E13" s="24" t="s">
        <v>483</v>
      </c>
      <c r="F13" s="26" t="s">
        <v>68</v>
      </c>
      <c r="G13" s="26" t="s">
        <v>201</v>
      </c>
      <c r="H13" s="20" t="s">
        <v>484</v>
      </c>
      <c r="I13" s="29">
        <v>2396</v>
      </c>
      <c r="J13" s="26">
        <v>15</v>
      </c>
      <c r="K13" s="50">
        <f t="shared" si="1"/>
        <v>35940</v>
      </c>
      <c r="L13" s="29">
        <f>SUM(K13)*0.09125</f>
        <v>3279.5250000000001</v>
      </c>
      <c r="M13" s="29">
        <v>0</v>
      </c>
      <c r="N13" s="674">
        <f t="shared" si="0"/>
        <v>39219.525000000001</v>
      </c>
      <c r="O13" s="16" t="s">
        <v>462</v>
      </c>
      <c r="P13" s="16" t="s">
        <v>462</v>
      </c>
      <c r="Q13" s="16" t="s">
        <v>462</v>
      </c>
      <c r="R13" s="16"/>
      <c r="S13" s="670"/>
      <c r="T13" s="284" t="s">
        <v>485</v>
      </c>
    </row>
    <row r="14" spans="1:20" ht="102">
      <c r="A14" s="669" t="s">
        <v>486</v>
      </c>
      <c r="B14" s="668" t="s">
        <v>64</v>
      </c>
      <c r="C14" s="667" t="s">
        <v>65</v>
      </c>
      <c r="D14" s="665" t="s">
        <v>487</v>
      </c>
      <c r="E14" s="665"/>
      <c r="F14" s="673"/>
      <c r="G14" s="673"/>
      <c r="H14" s="663"/>
      <c r="I14" s="672">
        <v>737.58</v>
      </c>
      <c r="J14" s="664">
        <v>7</v>
      </c>
      <c r="K14" s="662">
        <f t="shared" si="1"/>
        <v>5163.0600000000004</v>
      </c>
      <c r="L14" s="661"/>
      <c r="M14" s="661"/>
      <c r="N14" s="660">
        <v>6134.19</v>
      </c>
      <c r="O14" s="16" t="s">
        <v>462</v>
      </c>
      <c r="P14" s="16" t="s">
        <v>462</v>
      </c>
      <c r="Q14" s="16"/>
      <c r="R14" s="16"/>
      <c r="S14" s="670"/>
      <c r="T14" s="659" t="s">
        <v>488</v>
      </c>
    </row>
    <row r="15" spans="1:20" ht="51">
      <c r="A15" s="669" t="s">
        <v>486</v>
      </c>
      <c r="B15" s="668" t="s">
        <v>64</v>
      </c>
      <c r="C15" s="667" t="s">
        <v>65</v>
      </c>
      <c r="D15" s="666" t="s">
        <v>489</v>
      </c>
      <c r="E15" s="665"/>
      <c r="F15" s="663"/>
      <c r="G15" s="663"/>
      <c r="H15" s="664"/>
      <c r="I15" s="661">
        <v>3062.99</v>
      </c>
      <c r="J15" s="663">
        <v>1</v>
      </c>
      <c r="K15" s="662">
        <f t="shared" si="1"/>
        <v>3062.99</v>
      </c>
      <c r="L15" s="661"/>
      <c r="M15" s="661"/>
      <c r="N15" s="660">
        <v>3342.49</v>
      </c>
      <c r="O15" s="16" t="s">
        <v>462</v>
      </c>
      <c r="P15" s="16" t="s">
        <v>462</v>
      </c>
      <c r="Q15" s="16"/>
      <c r="R15" s="16"/>
      <c r="S15" s="670"/>
      <c r="T15" s="659" t="s">
        <v>490</v>
      </c>
    </row>
    <row r="16" spans="1:20" ht="51">
      <c r="A16" s="669" t="s">
        <v>486</v>
      </c>
      <c r="B16" s="671" t="s">
        <v>87</v>
      </c>
      <c r="C16" s="667" t="s">
        <v>65</v>
      </c>
      <c r="D16" s="666" t="s">
        <v>491</v>
      </c>
      <c r="E16" s="665"/>
      <c r="F16" s="663"/>
      <c r="G16" s="663"/>
      <c r="H16" s="664"/>
      <c r="I16" s="661">
        <v>2340</v>
      </c>
      <c r="J16" s="663">
        <v>1</v>
      </c>
      <c r="K16" s="662">
        <f t="shared" si="1"/>
        <v>2340</v>
      </c>
      <c r="L16" s="661"/>
      <c r="M16" s="661"/>
      <c r="N16" s="660">
        <v>2553.5300000000002</v>
      </c>
      <c r="O16" s="16" t="s">
        <v>462</v>
      </c>
      <c r="P16" s="16" t="s">
        <v>462</v>
      </c>
      <c r="Q16" s="16"/>
      <c r="R16" s="16"/>
      <c r="S16" s="670"/>
      <c r="T16" s="659" t="s">
        <v>492</v>
      </c>
    </row>
    <row r="17" spans="1:20" ht="156.94999999999999" thickBot="1">
      <c r="A17" s="669" t="s">
        <v>493</v>
      </c>
      <c r="B17" s="668" t="s">
        <v>64</v>
      </c>
      <c r="C17" s="667" t="s">
        <v>147</v>
      </c>
      <c r="D17" s="666" t="s">
        <v>494</v>
      </c>
      <c r="E17" s="665" t="s">
        <v>466</v>
      </c>
      <c r="F17" s="663" t="s">
        <v>75</v>
      </c>
      <c r="G17" s="663" t="s">
        <v>69</v>
      </c>
      <c r="H17" s="664" t="s">
        <v>274</v>
      </c>
      <c r="I17" s="661">
        <v>9250</v>
      </c>
      <c r="J17" s="663" t="s">
        <v>495</v>
      </c>
      <c r="K17" s="662">
        <v>9250</v>
      </c>
      <c r="L17" s="661">
        <v>0</v>
      </c>
      <c r="M17" s="661">
        <v>0</v>
      </c>
      <c r="N17" s="660">
        <f>SUM(K17:M17)</f>
        <v>9250</v>
      </c>
      <c r="O17" s="16" t="s">
        <v>462</v>
      </c>
      <c r="P17" s="16"/>
      <c r="Q17" s="16"/>
      <c r="R17" s="16"/>
      <c r="S17" s="148"/>
      <c r="T17" s="659" t="s">
        <v>496</v>
      </c>
    </row>
    <row r="18" spans="1:20" ht="17.100000000000001" thickBot="1">
      <c r="A18" s="187"/>
      <c r="B18" s="186"/>
      <c r="C18" s="186"/>
      <c r="D18" s="186"/>
      <c r="E18" s="186"/>
      <c r="F18" s="186"/>
      <c r="G18" s="186"/>
      <c r="H18" s="186"/>
      <c r="I18" s="186"/>
      <c r="J18" s="186"/>
      <c r="K18" s="186"/>
      <c r="L18" s="186"/>
      <c r="M18" s="185"/>
      <c r="N18" s="184">
        <f>SUM(N7:N17)</f>
        <v>209126.90625</v>
      </c>
      <c r="O18" s="183"/>
      <c r="P18" s="182"/>
      <c r="Q18" s="182"/>
      <c r="R18" s="182"/>
      <c r="S18" s="181"/>
      <c r="T18" s="180"/>
    </row>
  </sheetData>
  <mergeCells count="6">
    <mergeCell ref="T4:T5"/>
    <mergeCell ref="B1:N1"/>
    <mergeCell ref="B2:R2"/>
    <mergeCell ref="B3:R3"/>
    <mergeCell ref="A4:N4"/>
    <mergeCell ref="O4:S4"/>
  </mergeCells>
  <dataValidations count="1">
    <dataValidation allowBlank="1" showInputMessage="1" showErrorMessage="1" promptTitle="Enter Justification" sqref="E12" xr:uid="{00000000-0002-0000-0400-000000000000}"/>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D048-16ED-F941-AB1E-5DDE16CBFD85}">
  <dimension ref="A1:T21"/>
  <sheetViews>
    <sheetView zoomScale="76" zoomScaleNormal="76" workbookViewId="0">
      <selection activeCell="M18" sqref="M18"/>
    </sheetView>
  </sheetViews>
  <sheetFormatPr defaultColWidth="11.125" defaultRowHeight="14.1"/>
  <cols>
    <col min="1" max="1" width="11.125" style="14" customWidth="1"/>
    <col min="2" max="2" width="15.875" style="14" customWidth="1"/>
    <col min="3" max="3" width="13" style="53" customWidth="1"/>
    <col min="4" max="4" width="22.625" style="14" customWidth="1"/>
    <col min="5" max="5" width="46.5" style="14" customWidth="1"/>
    <col min="6" max="7" width="11.125" style="54" customWidth="1"/>
    <col min="8" max="8" width="10.125" style="54" customWidth="1"/>
    <col min="9" max="9" width="13.125" style="14" customWidth="1"/>
    <col min="10" max="10" width="11.125" style="14" customWidth="1"/>
    <col min="11" max="11" width="13.625" style="14" customWidth="1"/>
    <col min="12" max="12" width="12.125" style="14" customWidth="1"/>
    <col min="13" max="13" width="11.125" style="14" customWidth="1"/>
    <col min="14" max="14" width="14.625" style="14" customWidth="1"/>
    <col min="15" max="19" width="11.125" style="14" customWidth="1"/>
    <col min="20" max="20" width="31.125" style="56" customWidth="1"/>
    <col min="21" max="16384" width="11.125" style="14"/>
  </cols>
  <sheetData>
    <row r="1" spans="1:20">
      <c r="B1" s="749" t="s">
        <v>40</v>
      </c>
      <c r="C1" s="749"/>
      <c r="D1" s="749"/>
      <c r="E1" s="749"/>
      <c r="F1" s="749"/>
      <c r="G1" s="749"/>
      <c r="H1" s="749"/>
      <c r="I1" s="749"/>
      <c r="J1" s="749"/>
      <c r="K1" s="749"/>
      <c r="L1" s="749"/>
      <c r="M1" s="749"/>
      <c r="N1" s="749"/>
      <c r="O1" s="54"/>
      <c r="P1" s="54"/>
      <c r="Q1" s="54"/>
      <c r="R1" s="54"/>
    </row>
    <row r="2" spans="1:20">
      <c r="B2" s="750" t="s">
        <v>497</v>
      </c>
      <c r="C2" s="751"/>
      <c r="D2" s="752"/>
      <c r="E2" s="752"/>
      <c r="F2" s="752"/>
      <c r="G2" s="752"/>
      <c r="H2" s="752"/>
      <c r="I2" s="752"/>
      <c r="J2" s="752"/>
      <c r="K2" s="752"/>
      <c r="L2" s="752"/>
      <c r="M2" s="752"/>
      <c r="N2" s="752"/>
      <c r="O2" s="752"/>
      <c r="P2" s="752"/>
      <c r="Q2" s="752"/>
      <c r="R2" s="753"/>
    </row>
    <row r="3" spans="1:20" ht="94.5" customHeight="1">
      <c r="B3" s="754" t="s">
        <v>498</v>
      </c>
      <c r="C3" s="755"/>
      <c r="D3" s="756"/>
      <c r="E3" s="756"/>
      <c r="F3" s="756"/>
      <c r="G3" s="756"/>
      <c r="H3" s="756"/>
      <c r="I3" s="756"/>
      <c r="J3" s="756"/>
      <c r="K3" s="756"/>
      <c r="L3" s="756"/>
      <c r="M3" s="756"/>
      <c r="N3" s="756"/>
      <c r="O3" s="756"/>
      <c r="P3" s="756"/>
      <c r="Q3" s="756"/>
      <c r="R3" s="756"/>
    </row>
    <row r="4" spans="1:20" ht="21.6" customHeight="1">
      <c r="A4" s="757"/>
      <c r="B4" s="757"/>
      <c r="C4" s="757"/>
      <c r="D4" s="757"/>
      <c r="E4" s="757"/>
      <c r="F4" s="757"/>
      <c r="G4" s="757"/>
      <c r="H4" s="757"/>
      <c r="I4" s="757"/>
      <c r="J4" s="757"/>
      <c r="K4" s="757"/>
      <c r="L4" s="757"/>
      <c r="M4" s="757"/>
      <c r="N4" s="757"/>
      <c r="O4" s="758" t="s">
        <v>43</v>
      </c>
      <c r="P4" s="758"/>
      <c r="Q4" s="758"/>
      <c r="R4" s="758"/>
      <c r="S4" s="758"/>
      <c r="T4" s="748" t="s">
        <v>44</v>
      </c>
    </row>
    <row r="5" spans="1:20" ht="135">
      <c r="A5" s="150" t="s">
        <v>45</v>
      </c>
      <c r="B5" s="151" t="s">
        <v>46</v>
      </c>
      <c r="C5" s="152" t="s">
        <v>499</v>
      </c>
      <c r="D5" s="153" t="s">
        <v>48</v>
      </c>
      <c r="E5" s="153" t="s">
        <v>49</v>
      </c>
      <c r="F5" s="150" t="s">
        <v>50</v>
      </c>
      <c r="G5" s="150" t="s">
        <v>51</v>
      </c>
      <c r="H5" s="150" t="s">
        <v>52</v>
      </c>
      <c r="I5" s="150" t="s">
        <v>53</v>
      </c>
      <c r="J5" s="150" t="s">
        <v>54</v>
      </c>
      <c r="K5" s="176" t="s">
        <v>55</v>
      </c>
      <c r="L5" s="150" t="s">
        <v>500</v>
      </c>
      <c r="M5" s="150" t="s">
        <v>57</v>
      </c>
      <c r="N5" s="150" t="s">
        <v>58</v>
      </c>
      <c r="O5" s="154" t="s">
        <v>59</v>
      </c>
      <c r="P5" s="154" t="s">
        <v>60</v>
      </c>
      <c r="Q5" s="154" t="s">
        <v>61</v>
      </c>
      <c r="R5" s="154" t="s">
        <v>62</v>
      </c>
      <c r="S5" s="154" t="s">
        <v>105</v>
      </c>
      <c r="T5" s="748"/>
    </row>
    <row r="6" spans="1:20" ht="89.1" customHeight="1">
      <c r="A6" s="155" t="s">
        <v>25</v>
      </c>
      <c r="B6" s="156" t="s">
        <v>501</v>
      </c>
      <c r="C6" s="157" t="s">
        <v>198</v>
      </c>
      <c r="D6" s="158" t="s">
        <v>502</v>
      </c>
      <c r="E6" s="158" t="s">
        <v>503</v>
      </c>
      <c r="F6" s="159" t="s">
        <v>75</v>
      </c>
      <c r="G6" s="159" t="s">
        <v>504</v>
      </c>
      <c r="H6" s="160"/>
      <c r="I6" s="161">
        <v>500000</v>
      </c>
      <c r="J6" s="162">
        <v>1</v>
      </c>
      <c r="K6" s="175">
        <f t="shared" ref="K6:K20" si="0">I6*J6</f>
        <v>500000</v>
      </c>
      <c r="L6" s="175"/>
      <c r="M6" s="174">
        <v>0</v>
      </c>
      <c r="N6" s="163">
        <f t="shared" ref="N6:N20" si="1">K6+L6+M6</f>
        <v>500000</v>
      </c>
      <c r="O6" s="164"/>
      <c r="P6" s="164"/>
      <c r="Q6" s="164"/>
      <c r="R6" s="164"/>
      <c r="S6" s="165"/>
      <c r="T6" s="166" t="s">
        <v>505</v>
      </c>
    </row>
    <row r="7" spans="1:20" ht="89.1" customHeight="1">
      <c r="A7" s="155" t="s">
        <v>25</v>
      </c>
      <c r="B7" s="156" t="s">
        <v>501</v>
      </c>
      <c r="C7" s="157" t="s">
        <v>198</v>
      </c>
      <c r="D7" s="158" t="s">
        <v>506</v>
      </c>
      <c r="E7" s="158" t="s">
        <v>507</v>
      </c>
      <c r="F7" s="159" t="s">
        <v>75</v>
      </c>
      <c r="G7" s="159" t="s">
        <v>504</v>
      </c>
      <c r="H7" s="160"/>
      <c r="I7" s="161">
        <v>375000</v>
      </c>
      <c r="J7" s="162">
        <v>1</v>
      </c>
      <c r="K7" s="175">
        <f t="shared" si="0"/>
        <v>375000</v>
      </c>
      <c r="L7" s="175"/>
      <c r="M7" s="174">
        <v>0</v>
      </c>
      <c r="N7" s="163">
        <f t="shared" si="1"/>
        <v>375000</v>
      </c>
      <c r="O7" s="164"/>
      <c r="P7" s="164"/>
      <c r="Q7" s="164"/>
      <c r="R7" s="164"/>
      <c r="S7" s="165"/>
      <c r="T7" s="166" t="s">
        <v>505</v>
      </c>
    </row>
    <row r="8" spans="1:20" ht="89.1" customHeight="1">
      <c r="A8" s="155" t="s">
        <v>25</v>
      </c>
      <c r="B8" s="156" t="s">
        <v>501</v>
      </c>
      <c r="C8" s="157" t="s">
        <v>198</v>
      </c>
      <c r="D8" s="158" t="s">
        <v>508</v>
      </c>
      <c r="E8" s="158" t="s">
        <v>509</v>
      </c>
      <c r="F8" s="159" t="s">
        <v>75</v>
      </c>
      <c r="G8" s="159" t="s">
        <v>504</v>
      </c>
      <c r="H8" s="160"/>
      <c r="I8" s="161">
        <v>549000</v>
      </c>
      <c r="J8" s="162">
        <v>1</v>
      </c>
      <c r="K8" s="175">
        <f t="shared" si="0"/>
        <v>549000</v>
      </c>
      <c r="L8" s="175"/>
      <c r="M8" s="174">
        <v>0</v>
      </c>
      <c r="N8" s="163">
        <f t="shared" si="1"/>
        <v>549000</v>
      </c>
      <c r="O8" s="164"/>
      <c r="P8" s="164"/>
      <c r="Q8" s="164"/>
      <c r="R8" s="164"/>
      <c r="S8" s="165"/>
      <c r="T8" s="166" t="s">
        <v>505</v>
      </c>
    </row>
    <row r="9" spans="1:20" ht="89.1" customHeight="1">
      <c r="A9" s="155" t="s">
        <v>25</v>
      </c>
      <c r="B9" s="156" t="s">
        <v>501</v>
      </c>
      <c r="C9" s="157" t="s">
        <v>510</v>
      </c>
      <c r="D9" s="167" t="s">
        <v>511</v>
      </c>
      <c r="E9" s="158" t="s">
        <v>512</v>
      </c>
      <c r="F9" s="159" t="s">
        <v>75</v>
      </c>
      <c r="G9" s="159" t="s">
        <v>504</v>
      </c>
      <c r="H9" s="168">
        <v>1</v>
      </c>
      <c r="I9" s="160">
        <v>17500</v>
      </c>
      <c r="J9" s="162">
        <v>1</v>
      </c>
      <c r="K9" s="175">
        <f t="shared" si="0"/>
        <v>17500</v>
      </c>
      <c r="L9" s="175"/>
      <c r="M9" s="174">
        <v>0</v>
      </c>
      <c r="N9" s="163">
        <f t="shared" si="1"/>
        <v>17500</v>
      </c>
      <c r="O9" s="164"/>
      <c r="P9" s="164"/>
      <c r="Q9" s="164"/>
      <c r="R9" s="164"/>
      <c r="S9" s="165"/>
      <c r="T9" s="166"/>
    </row>
    <row r="10" spans="1:20" ht="89.1" customHeight="1">
      <c r="A10" s="155" t="s">
        <v>25</v>
      </c>
      <c r="B10" s="156" t="s">
        <v>501</v>
      </c>
      <c r="C10" s="157" t="s">
        <v>147</v>
      </c>
      <c r="D10" s="167" t="s">
        <v>513</v>
      </c>
      <c r="E10" s="158" t="s">
        <v>514</v>
      </c>
      <c r="F10" s="159" t="s">
        <v>75</v>
      </c>
      <c r="G10" s="159" t="s">
        <v>504</v>
      </c>
      <c r="H10" s="160"/>
      <c r="I10" s="160">
        <v>100000</v>
      </c>
      <c r="J10" s="162">
        <v>1</v>
      </c>
      <c r="K10" s="175">
        <f t="shared" si="0"/>
        <v>100000</v>
      </c>
      <c r="L10" s="175"/>
      <c r="M10" s="174">
        <v>0</v>
      </c>
      <c r="N10" s="163">
        <f t="shared" si="1"/>
        <v>100000</v>
      </c>
      <c r="O10" s="164"/>
      <c r="P10" s="164"/>
      <c r="Q10" s="164"/>
      <c r="R10" s="164"/>
      <c r="S10" s="165"/>
      <c r="T10" s="166"/>
    </row>
    <row r="11" spans="1:20" ht="89.1" customHeight="1">
      <c r="A11" s="155" t="s">
        <v>25</v>
      </c>
      <c r="B11" s="169" t="s">
        <v>501</v>
      </c>
      <c r="C11" s="170" t="s">
        <v>515</v>
      </c>
      <c r="D11" s="158" t="s">
        <v>516</v>
      </c>
      <c r="E11" s="158" t="s">
        <v>517</v>
      </c>
      <c r="F11" s="159" t="s">
        <v>75</v>
      </c>
      <c r="G11" s="159" t="s">
        <v>69</v>
      </c>
      <c r="H11" s="167"/>
      <c r="I11" s="161">
        <v>120000</v>
      </c>
      <c r="J11" s="162">
        <v>1</v>
      </c>
      <c r="K11" s="175">
        <f t="shared" si="0"/>
        <v>120000</v>
      </c>
      <c r="L11" s="174"/>
      <c r="M11" s="174">
        <v>0</v>
      </c>
      <c r="N11" s="163">
        <f t="shared" si="1"/>
        <v>120000</v>
      </c>
      <c r="O11" s="164"/>
      <c r="P11" s="164"/>
      <c r="Q11" s="164"/>
      <c r="R11" s="164"/>
      <c r="S11" s="165"/>
      <c r="T11" s="166"/>
    </row>
    <row r="12" spans="1:20" ht="89.1" customHeight="1">
      <c r="A12" s="155" t="s">
        <v>25</v>
      </c>
      <c r="B12" s="157" t="s">
        <v>64</v>
      </c>
      <c r="C12" s="157" t="s">
        <v>147</v>
      </c>
      <c r="D12" s="167" t="s">
        <v>518</v>
      </c>
      <c r="E12" s="158" t="s">
        <v>519</v>
      </c>
      <c r="F12" s="159" t="s">
        <v>75</v>
      </c>
      <c r="G12" s="159" t="s">
        <v>504</v>
      </c>
      <c r="H12" s="160"/>
      <c r="I12" s="160">
        <v>50000</v>
      </c>
      <c r="J12" s="162">
        <v>1</v>
      </c>
      <c r="K12" s="175">
        <f t="shared" si="0"/>
        <v>50000</v>
      </c>
      <c r="L12" s="175">
        <f>K12*0.09125</f>
        <v>4562.5</v>
      </c>
      <c r="M12" s="174">
        <v>0</v>
      </c>
      <c r="N12" s="163">
        <f t="shared" si="1"/>
        <v>54562.5</v>
      </c>
      <c r="O12" s="164"/>
      <c r="P12" s="164"/>
      <c r="Q12" s="164"/>
      <c r="R12" s="164"/>
      <c r="S12" s="165"/>
      <c r="T12" s="166"/>
    </row>
    <row r="13" spans="1:20" ht="89.1" customHeight="1">
      <c r="A13" s="155" t="s">
        <v>25</v>
      </c>
      <c r="B13" s="157" t="s">
        <v>64</v>
      </c>
      <c r="C13" s="157" t="s">
        <v>147</v>
      </c>
      <c r="D13" s="167" t="s">
        <v>520</v>
      </c>
      <c r="E13" s="158" t="s">
        <v>521</v>
      </c>
      <c r="F13" s="159" t="s">
        <v>75</v>
      </c>
      <c r="G13" s="159" t="s">
        <v>504</v>
      </c>
      <c r="H13" s="160"/>
      <c r="I13" s="160">
        <v>12000</v>
      </c>
      <c r="J13" s="162">
        <v>1</v>
      </c>
      <c r="K13" s="175">
        <f t="shared" si="0"/>
        <v>12000</v>
      </c>
      <c r="L13" s="175"/>
      <c r="M13" s="174">
        <v>0</v>
      </c>
      <c r="N13" s="163">
        <f t="shared" si="1"/>
        <v>12000</v>
      </c>
      <c r="O13" s="164"/>
      <c r="P13" s="164"/>
      <c r="Q13" s="164"/>
      <c r="R13" s="164"/>
      <c r="S13" s="165"/>
      <c r="T13" s="166"/>
    </row>
    <row r="14" spans="1:20" ht="89.1" customHeight="1">
      <c r="A14" s="155" t="s">
        <v>25</v>
      </c>
      <c r="B14" s="157" t="s">
        <v>64</v>
      </c>
      <c r="C14" s="157" t="s">
        <v>147</v>
      </c>
      <c r="D14" s="167" t="s">
        <v>522</v>
      </c>
      <c r="E14" s="158" t="s">
        <v>523</v>
      </c>
      <c r="F14" s="159" t="s">
        <v>75</v>
      </c>
      <c r="G14" s="159" t="s">
        <v>69</v>
      </c>
      <c r="H14" s="160"/>
      <c r="I14" s="161">
        <v>2000</v>
      </c>
      <c r="J14" s="162">
        <v>3</v>
      </c>
      <c r="K14" s="175">
        <f t="shared" si="0"/>
        <v>6000</v>
      </c>
      <c r="L14" s="175"/>
      <c r="M14" s="174">
        <v>0</v>
      </c>
      <c r="N14" s="163">
        <f t="shared" si="1"/>
        <v>6000</v>
      </c>
      <c r="O14" s="164"/>
      <c r="P14" s="164"/>
      <c r="Q14" s="164"/>
      <c r="R14" s="164"/>
      <c r="S14" s="165"/>
      <c r="T14" s="166"/>
    </row>
    <row r="15" spans="1:20" ht="89.1" customHeight="1">
      <c r="A15" s="155" t="s">
        <v>25</v>
      </c>
      <c r="B15" s="157" t="s">
        <v>64</v>
      </c>
      <c r="C15" s="157" t="s">
        <v>147</v>
      </c>
      <c r="D15" s="167" t="s">
        <v>524</v>
      </c>
      <c r="E15" s="158" t="s">
        <v>525</v>
      </c>
      <c r="F15" s="159" t="s">
        <v>75</v>
      </c>
      <c r="G15" s="159" t="s">
        <v>69</v>
      </c>
      <c r="H15" s="160"/>
      <c r="I15" s="160">
        <v>75000</v>
      </c>
      <c r="J15" s="162">
        <v>1</v>
      </c>
      <c r="K15" s="175">
        <f t="shared" si="0"/>
        <v>75000</v>
      </c>
      <c r="L15" s="175"/>
      <c r="M15" s="174">
        <v>0</v>
      </c>
      <c r="N15" s="163">
        <f t="shared" si="1"/>
        <v>75000</v>
      </c>
      <c r="O15" s="164"/>
      <c r="P15" s="164"/>
      <c r="Q15" s="164"/>
      <c r="R15" s="164"/>
      <c r="S15" s="165"/>
      <c r="T15" s="166"/>
    </row>
    <row r="16" spans="1:20" ht="89.1" customHeight="1">
      <c r="A16" s="155" t="s">
        <v>25</v>
      </c>
      <c r="B16" s="157" t="s">
        <v>87</v>
      </c>
      <c r="C16" s="157" t="s">
        <v>526</v>
      </c>
      <c r="D16" s="158" t="s">
        <v>527</v>
      </c>
      <c r="E16" s="158" t="s">
        <v>528</v>
      </c>
      <c r="F16" s="159" t="s">
        <v>75</v>
      </c>
      <c r="G16" s="159" t="s">
        <v>69</v>
      </c>
      <c r="H16" s="171"/>
      <c r="I16" s="171">
        <v>2300</v>
      </c>
      <c r="J16" s="162">
        <v>1</v>
      </c>
      <c r="K16" s="175">
        <f t="shared" si="0"/>
        <v>2300</v>
      </c>
      <c r="L16" s="175"/>
      <c r="M16" s="174">
        <v>0</v>
      </c>
      <c r="N16" s="163">
        <f t="shared" si="1"/>
        <v>2300</v>
      </c>
      <c r="O16" s="164"/>
      <c r="P16" s="164"/>
      <c r="Q16" s="164"/>
      <c r="R16" s="164"/>
      <c r="S16" s="165"/>
      <c r="T16" s="166"/>
    </row>
    <row r="17" spans="1:20" ht="89.1" customHeight="1">
      <c r="A17" s="155" t="s">
        <v>25</v>
      </c>
      <c r="B17" s="157" t="s">
        <v>87</v>
      </c>
      <c r="C17" s="157" t="s">
        <v>65</v>
      </c>
      <c r="D17" s="158" t="s">
        <v>529</v>
      </c>
      <c r="E17" s="158" t="s">
        <v>530</v>
      </c>
      <c r="F17" s="159" t="s">
        <v>75</v>
      </c>
      <c r="G17" s="159" t="s">
        <v>69</v>
      </c>
      <c r="H17" s="160"/>
      <c r="I17" s="161">
        <v>500</v>
      </c>
      <c r="J17" s="162">
        <v>1</v>
      </c>
      <c r="K17" s="175">
        <f t="shared" si="0"/>
        <v>500</v>
      </c>
      <c r="L17" s="175">
        <f>K17*0.09125</f>
        <v>45.625</v>
      </c>
      <c r="M17" s="174">
        <v>0</v>
      </c>
      <c r="N17" s="163">
        <f t="shared" si="1"/>
        <v>545.625</v>
      </c>
      <c r="O17" s="164"/>
      <c r="P17" s="164"/>
      <c r="Q17" s="164"/>
      <c r="R17" s="164"/>
      <c r="S17" s="165"/>
      <c r="T17" s="166"/>
    </row>
    <row r="18" spans="1:20" ht="89.1" customHeight="1">
      <c r="A18" s="155" t="s">
        <v>25</v>
      </c>
      <c r="B18" s="170" t="s">
        <v>87</v>
      </c>
      <c r="C18" s="170" t="s">
        <v>65</v>
      </c>
      <c r="D18" s="158" t="s">
        <v>531</v>
      </c>
      <c r="E18" s="158" t="s">
        <v>532</v>
      </c>
      <c r="F18" s="159" t="s">
        <v>75</v>
      </c>
      <c r="G18" s="159" t="s">
        <v>69</v>
      </c>
      <c r="H18" s="160"/>
      <c r="I18" s="155">
        <v>2500</v>
      </c>
      <c r="J18" s="168">
        <v>1</v>
      </c>
      <c r="K18" s="175">
        <f t="shared" si="0"/>
        <v>2500</v>
      </c>
      <c r="L18" s="175">
        <f>K18*0.09125</f>
        <v>228.125</v>
      </c>
      <c r="M18" s="174">
        <v>0</v>
      </c>
      <c r="N18" s="163">
        <f t="shared" si="1"/>
        <v>2728.125</v>
      </c>
      <c r="O18" s="162"/>
      <c r="P18" s="162"/>
      <c r="Q18" s="162"/>
      <c r="R18" s="162"/>
      <c r="S18" s="64"/>
      <c r="T18" s="166"/>
    </row>
    <row r="19" spans="1:20" ht="89.1" customHeight="1">
      <c r="A19" s="155" t="s">
        <v>25</v>
      </c>
      <c r="B19" s="157" t="s">
        <v>87</v>
      </c>
      <c r="C19" s="157" t="s">
        <v>147</v>
      </c>
      <c r="D19" s="167" t="s">
        <v>533</v>
      </c>
      <c r="E19" s="158" t="s">
        <v>534</v>
      </c>
      <c r="F19" s="159" t="s">
        <v>75</v>
      </c>
      <c r="G19" s="159" t="s">
        <v>69</v>
      </c>
      <c r="H19" s="160"/>
      <c r="I19" s="161">
        <v>150</v>
      </c>
      <c r="J19" s="162">
        <v>1</v>
      </c>
      <c r="K19" s="175">
        <f t="shared" si="0"/>
        <v>150</v>
      </c>
      <c r="L19" s="175"/>
      <c r="M19" s="174">
        <v>0</v>
      </c>
      <c r="N19" s="163">
        <f t="shared" si="1"/>
        <v>150</v>
      </c>
      <c r="O19" s="164"/>
      <c r="P19" s="164"/>
      <c r="Q19" s="164"/>
      <c r="R19" s="164"/>
      <c r="S19" s="165"/>
      <c r="T19" s="166"/>
    </row>
    <row r="20" spans="1:20" ht="89.1" customHeight="1">
      <c r="A20" s="155" t="s">
        <v>25</v>
      </c>
      <c r="B20" s="157" t="s">
        <v>87</v>
      </c>
      <c r="C20" s="157" t="s">
        <v>147</v>
      </c>
      <c r="D20" s="167" t="s">
        <v>535</v>
      </c>
      <c r="E20" s="158" t="s">
        <v>536</v>
      </c>
      <c r="F20" s="159" t="s">
        <v>75</v>
      </c>
      <c r="G20" s="159" t="s">
        <v>69</v>
      </c>
      <c r="H20" s="160"/>
      <c r="I20" s="161">
        <v>2000</v>
      </c>
      <c r="J20" s="162">
        <v>1</v>
      </c>
      <c r="K20" s="175">
        <f t="shared" si="0"/>
        <v>2000</v>
      </c>
      <c r="L20" s="175">
        <f>K20*0.09125</f>
        <v>182.5</v>
      </c>
      <c r="M20" s="174">
        <v>0</v>
      </c>
      <c r="N20" s="163">
        <f t="shared" si="1"/>
        <v>2182.5</v>
      </c>
      <c r="O20" s="164"/>
      <c r="P20" s="164"/>
      <c r="Q20" s="164"/>
      <c r="R20" s="164"/>
      <c r="S20" s="165"/>
      <c r="T20" s="166"/>
    </row>
    <row r="21" spans="1:20" ht="32.1" customHeight="1">
      <c r="A21" s="747" t="s">
        <v>26</v>
      </c>
      <c r="B21" s="747"/>
      <c r="C21" s="747"/>
      <c r="D21" s="747"/>
      <c r="E21" s="747"/>
      <c r="F21" s="747"/>
      <c r="G21" s="747"/>
      <c r="H21" s="747"/>
      <c r="I21" s="747"/>
      <c r="J21" s="747"/>
      <c r="K21" s="747"/>
      <c r="L21" s="747"/>
      <c r="M21" s="747"/>
      <c r="N21" s="172">
        <f>SUM(N6:N20)</f>
        <v>1816968.75</v>
      </c>
      <c r="O21" s="162"/>
      <c r="P21" s="162"/>
      <c r="Q21" s="162"/>
      <c r="R21" s="162"/>
      <c r="S21" s="64"/>
      <c r="T21" s="173"/>
    </row>
  </sheetData>
  <mergeCells count="7">
    <mergeCell ref="A21:M21"/>
    <mergeCell ref="T4:T5"/>
    <mergeCell ref="B1:N1"/>
    <mergeCell ref="B2:R2"/>
    <mergeCell ref="B3:R3"/>
    <mergeCell ref="A4:N4"/>
    <mergeCell ref="O4:S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E931-C52B-844E-BC1F-96E7BEB359AA}">
  <dimension ref="A1:T31"/>
  <sheetViews>
    <sheetView zoomScaleNormal="100" workbookViewId="0">
      <selection activeCell="R12" sqref="R12"/>
    </sheetView>
  </sheetViews>
  <sheetFormatPr defaultColWidth="8.875" defaultRowHeight="15.95"/>
  <cols>
    <col min="1" max="3" width="8.875" style="5"/>
    <col min="4" max="5" width="29.125" style="5" customWidth="1"/>
    <col min="6" max="8" width="8.875" style="178"/>
    <col min="9" max="9" width="10.125" style="5" customWidth="1"/>
    <col min="10" max="11" width="8.875" style="5"/>
    <col min="12" max="12" width="10.625" style="5" customWidth="1"/>
    <col min="13" max="13" width="8.875" style="5"/>
    <col min="14" max="14" width="14.625" style="5" customWidth="1"/>
    <col min="15" max="19" width="8.875" style="5"/>
    <col min="20" max="20" width="31.375" style="177" customWidth="1"/>
    <col min="21" max="16384" width="8.875" style="5"/>
  </cols>
  <sheetData>
    <row r="1" spans="1:20">
      <c r="A1" s="1"/>
      <c r="B1" s="725" t="s">
        <v>40</v>
      </c>
      <c r="C1" s="725"/>
      <c r="D1" s="725"/>
      <c r="E1" s="725"/>
      <c r="F1" s="725"/>
      <c r="G1" s="725"/>
      <c r="H1" s="725"/>
      <c r="I1" s="725"/>
      <c r="J1" s="725"/>
      <c r="K1" s="725"/>
      <c r="L1" s="725"/>
      <c r="M1" s="725"/>
      <c r="N1" s="725"/>
      <c r="O1" s="2"/>
      <c r="P1" s="2"/>
      <c r="Q1" s="2"/>
      <c r="R1" s="2"/>
      <c r="S1" s="1"/>
      <c r="T1" s="4"/>
    </row>
    <row r="2" spans="1:20">
      <c r="A2" s="1"/>
      <c r="B2" s="726" t="s">
        <v>537</v>
      </c>
      <c r="C2" s="732"/>
      <c r="D2" s="733"/>
      <c r="E2" s="733"/>
      <c r="F2" s="733"/>
      <c r="G2" s="733"/>
      <c r="H2" s="733"/>
      <c r="I2" s="733"/>
      <c r="J2" s="733"/>
      <c r="K2" s="733"/>
      <c r="L2" s="733"/>
      <c r="M2" s="733"/>
      <c r="N2" s="733"/>
      <c r="O2" s="733"/>
      <c r="P2" s="733"/>
      <c r="Q2" s="733"/>
      <c r="R2" s="734"/>
      <c r="S2" s="1"/>
      <c r="T2" s="4"/>
    </row>
    <row r="3" spans="1:20" ht="94.5" customHeight="1">
      <c r="A3" s="1"/>
      <c r="B3" s="727" t="s">
        <v>42</v>
      </c>
      <c r="C3" s="735"/>
      <c r="D3" s="736"/>
      <c r="E3" s="736"/>
      <c r="F3" s="736"/>
      <c r="G3" s="736"/>
      <c r="H3" s="736"/>
      <c r="I3" s="736"/>
      <c r="J3" s="736"/>
      <c r="K3" s="736"/>
      <c r="L3" s="736"/>
      <c r="M3" s="736"/>
      <c r="N3" s="736"/>
      <c r="O3" s="736"/>
      <c r="P3" s="736"/>
      <c r="Q3" s="736"/>
      <c r="R3" s="736"/>
      <c r="S3" s="1"/>
      <c r="T3" s="4"/>
    </row>
    <row r="4" spans="1:20" ht="23.1">
      <c r="A4" s="728"/>
      <c r="B4" s="728"/>
      <c r="C4" s="728"/>
      <c r="D4" s="728"/>
      <c r="E4" s="728"/>
      <c r="F4" s="728"/>
      <c r="G4" s="728"/>
      <c r="H4" s="728"/>
      <c r="I4" s="728"/>
      <c r="J4" s="728"/>
      <c r="K4" s="728"/>
      <c r="L4" s="728"/>
      <c r="M4" s="728"/>
      <c r="N4" s="728"/>
      <c r="O4" s="729" t="s">
        <v>43</v>
      </c>
      <c r="P4" s="729"/>
      <c r="Q4" s="729"/>
      <c r="R4" s="729"/>
      <c r="S4" s="746"/>
      <c r="T4" s="724" t="s">
        <v>44</v>
      </c>
    </row>
    <row r="5" spans="1:20" ht="143.1">
      <c r="A5" s="7" t="s">
        <v>45</v>
      </c>
      <c r="B5" s="8" t="s">
        <v>46</v>
      </c>
      <c r="C5" s="8" t="s">
        <v>47</v>
      </c>
      <c r="D5" s="9" t="s">
        <v>48</v>
      </c>
      <c r="E5" s="9" t="s">
        <v>49</v>
      </c>
      <c r="F5" s="7" t="s">
        <v>50</v>
      </c>
      <c r="G5" s="7" t="s">
        <v>51</v>
      </c>
      <c r="H5" s="7" t="s">
        <v>52</v>
      </c>
      <c r="I5" s="7" t="s">
        <v>53</v>
      </c>
      <c r="J5" s="7" t="s">
        <v>54</v>
      </c>
      <c r="K5" s="10" t="s">
        <v>55</v>
      </c>
      <c r="L5" s="7" t="s">
        <v>56</v>
      </c>
      <c r="M5" s="7" t="s">
        <v>57</v>
      </c>
      <c r="N5" s="7" t="s">
        <v>58</v>
      </c>
      <c r="O5" s="11" t="s">
        <v>59</v>
      </c>
      <c r="P5" s="11" t="s">
        <v>60</v>
      </c>
      <c r="Q5" s="11" t="s">
        <v>61</v>
      </c>
      <c r="R5" s="11" t="s">
        <v>62</v>
      </c>
      <c r="S5" s="143" t="s">
        <v>105</v>
      </c>
      <c r="T5" s="745"/>
    </row>
    <row r="6" spans="1:20" ht="39" customHeight="1">
      <c r="A6" s="20" t="s">
        <v>538</v>
      </c>
      <c r="B6" s="51" t="s">
        <v>87</v>
      </c>
      <c r="C6" s="51" t="s">
        <v>65</v>
      </c>
      <c r="D6" s="24" t="s">
        <v>539</v>
      </c>
      <c r="E6" s="24" t="s">
        <v>540</v>
      </c>
      <c r="F6" s="26" t="s">
        <v>75</v>
      </c>
      <c r="G6" s="26" t="s">
        <v>201</v>
      </c>
      <c r="H6" s="26">
        <v>5</v>
      </c>
      <c r="I6" s="28">
        <v>500</v>
      </c>
      <c r="J6" s="20">
        <v>4</v>
      </c>
      <c r="K6" s="28">
        <v>2000</v>
      </c>
      <c r="L6" s="28">
        <v>180</v>
      </c>
      <c r="M6" s="28"/>
      <c r="N6" s="30">
        <v>2180</v>
      </c>
      <c r="O6" s="36"/>
      <c r="P6" s="34"/>
      <c r="Q6" s="34" t="s">
        <v>70</v>
      </c>
      <c r="R6" s="34">
        <f>N6</f>
        <v>2180</v>
      </c>
      <c r="S6" s="146"/>
      <c r="T6" s="13"/>
    </row>
    <row r="7" spans="1:20" ht="36.950000000000003" customHeight="1">
      <c r="A7" s="20" t="s">
        <v>538</v>
      </c>
      <c r="B7" s="51" t="s">
        <v>87</v>
      </c>
      <c r="C7" s="51" t="s">
        <v>65</v>
      </c>
      <c r="D7" s="24" t="s">
        <v>541</v>
      </c>
      <c r="E7" s="24" t="s">
        <v>540</v>
      </c>
      <c r="F7" s="26" t="s">
        <v>75</v>
      </c>
      <c r="G7" s="26" t="s">
        <v>201</v>
      </c>
      <c r="H7" s="26">
        <v>5</v>
      </c>
      <c r="I7" s="28">
        <v>150</v>
      </c>
      <c r="J7" s="20">
        <v>4</v>
      </c>
      <c r="K7" s="28">
        <v>600</v>
      </c>
      <c r="L7" s="28">
        <v>54</v>
      </c>
      <c r="M7" s="28"/>
      <c r="N7" s="30">
        <v>654</v>
      </c>
      <c r="O7" s="36"/>
      <c r="P7" s="34"/>
      <c r="Q7" s="36" t="s">
        <v>70</v>
      </c>
      <c r="R7" s="34">
        <f t="shared" ref="R7:R10" si="0">N7</f>
        <v>654</v>
      </c>
      <c r="S7" s="146"/>
      <c r="T7" s="13"/>
    </row>
    <row r="8" spans="1:20" ht="39" customHeight="1">
      <c r="A8" s="20" t="s">
        <v>538</v>
      </c>
      <c r="B8" s="51" t="s">
        <v>87</v>
      </c>
      <c r="C8" s="51" t="s">
        <v>65</v>
      </c>
      <c r="D8" s="13" t="s">
        <v>542</v>
      </c>
      <c r="E8" s="24" t="s">
        <v>540</v>
      </c>
      <c r="F8" s="26" t="s">
        <v>75</v>
      </c>
      <c r="G8" s="26" t="s">
        <v>201</v>
      </c>
      <c r="H8" s="26">
        <v>5</v>
      </c>
      <c r="I8" s="28">
        <v>400</v>
      </c>
      <c r="J8" s="26" t="s">
        <v>543</v>
      </c>
      <c r="K8" s="28">
        <v>200</v>
      </c>
      <c r="L8" s="28">
        <v>36</v>
      </c>
      <c r="M8" s="28"/>
      <c r="N8" s="30">
        <v>436</v>
      </c>
      <c r="O8" s="16"/>
      <c r="P8" s="34"/>
      <c r="Q8" s="16" t="s">
        <v>70</v>
      </c>
      <c r="R8" s="34">
        <f t="shared" si="0"/>
        <v>436</v>
      </c>
      <c r="S8" s="148"/>
      <c r="T8" s="13"/>
    </row>
    <row r="9" spans="1:20" ht="31.7" customHeight="1">
      <c r="A9" s="20" t="s">
        <v>538</v>
      </c>
      <c r="B9" s="51" t="s">
        <v>64</v>
      </c>
      <c r="C9" s="51" t="s">
        <v>147</v>
      </c>
      <c r="D9" s="24" t="s">
        <v>544</v>
      </c>
      <c r="E9" s="24" t="s">
        <v>545</v>
      </c>
      <c r="F9" s="26" t="s">
        <v>75</v>
      </c>
      <c r="G9" s="26"/>
      <c r="H9" s="26"/>
      <c r="I9" s="28"/>
      <c r="J9" s="20"/>
      <c r="K9" s="28"/>
      <c r="L9" s="28"/>
      <c r="M9" s="28"/>
      <c r="N9" s="30">
        <v>3500</v>
      </c>
      <c r="O9" s="36"/>
      <c r="P9" s="34"/>
      <c r="Q9" s="36" t="s">
        <v>70</v>
      </c>
      <c r="R9" s="34">
        <f t="shared" si="0"/>
        <v>3500</v>
      </c>
      <c r="S9" s="146"/>
      <c r="T9" s="13"/>
    </row>
    <row r="10" spans="1:20" ht="72" customHeight="1">
      <c r="A10" s="20" t="s">
        <v>538</v>
      </c>
      <c r="B10" s="51" t="s">
        <v>64</v>
      </c>
      <c r="C10" s="51" t="s">
        <v>147</v>
      </c>
      <c r="D10" s="24" t="s">
        <v>546</v>
      </c>
      <c r="E10" s="24" t="s">
        <v>547</v>
      </c>
      <c r="F10" s="26" t="s">
        <v>75</v>
      </c>
      <c r="G10" s="26"/>
      <c r="H10" s="26"/>
      <c r="I10" s="28"/>
      <c r="J10" s="20"/>
      <c r="K10" s="28"/>
      <c r="L10" s="28"/>
      <c r="M10" s="28"/>
      <c r="N10" s="30">
        <v>10500</v>
      </c>
      <c r="O10" s="36"/>
      <c r="P10" s="34"/>
      <c r="Q10" s="36" t="s">
        <v>70</v>
      </c>
      <c r="R10" s="34">
        <f t="shared" si="0"/>
        <v>10500</v>
      </c>
      <c r="S10" s="146"/>
      <c r="T10" s="13"/>
    </row>
    <row r="11" spans="1:20" ht="31.7" customHeight="1">
      <c r="A11" s="20"/>
      <c r="B11" s="51"/>
      <c r="C11" s="51"/>
      <c r="D11" s="13"/>
      <c r="E11" s="24"/>
      <c r="F11" s="26"/>
      <c r="G11" s="26"/>
      <c r="H11" s="20"/>
      <c r="I11" s="28"/>
      <c r="J11" s="26"/>
      <c r="K11" s="28"/>
      <c r="L11" s="28"/>
      <c r="M11" s="28"/>
      <c r="N11" s="30"/>
      <c r="O11" s="16"/>
      <c r="P11" s="16"/>
      <c r="Q11" s="16"/>
      <c r="R11" s="16"/>
      <c r="S11" s="148"/>
      <c r="T11" s="13"/>
    </row>
    <row r="12" spans="1:20" ht="31.7" customHeight="1">
      <c r="A12" s="20"/>
      <c r="B12" s="51"/>
      <c r="C12" s="51"/>
      <c r="D12" s="13"/>
      <c r="E12" s="24"/>
      <c r="F12" s="26"/>
      <c r="G12" s="26"/>
      <c r="H12" s="20"/>
      <c r="I12" s="28"/>
      <c r="J12" s="26"/>
      <c r="K12" s="28"/>
      <c r="L12" s="28"/>
      <c r="M12" s="28"/>
      <c r="N12" s="30"/>
      <c r="O12" s="16"/>
      <c r="P12" s="16"/>
      <c r="Q12" s="16"/>
      <c r="R12" s="16"/>
      <c r="S12" s="148"/>
      <c r="T12" s="13"/>
    </row>
    <row r="13" spans="1:20" ht="31.7" customHeight="1">
      <c r="A13" s="20"/>
      <c r="B13" s="51"/>
      <c r="C13" s="51"/>
      <c r="D13" s="13"/>
      <c r="E13" s="24"/>
      <c r="F13" s="26"/>
      <c r="G13" s="26"/>
      <c r="H13" s="20"/>
      <c r="I13" s="28"/>
      <c r="J13" s="26"/>
      <c r="K13" s="28"/>
      <c r="L13" s="28"/>
      <c r="M13" s="28"/>
      <c r="N13" s="30"/>
      <c r="O13" s="16"/>
      <c r="P13" s="16"/>
      <c r="Q13" s="16"/>
      <c r="R13" s="16"/>
      <c r="S13" s="148"/>
      <c r="T13" s="13"/>
    </row>
    <row r="14" spans="1:20" ht="31.7" customHeight="1">
      <c r="A14" s="20"/>
      <c r="B14" s="51"/>
      <c r="C14" s="51"/>
      <c r="D14" s="13"/>
      <c r="E14" s="24"/>
      <c r="F14" s="26"/>
      <c r="G14" s="26"/>
      <c r="H14" s="20"/>
      <c r="I14" s="28"/>
      <c r="J14" s="26"/>
      <c r="K14" s="28"/>
      <c r="L14" s="28"/>
      <c r="M14" s="28"/>
      <c r="N14" s="30"/>
      <c r="O14" s="16"/>
      <c r="P14" s="16"/>
      <c r="Q14" s="16"/>
      <c r="R14" s="16"/>
      <c r="S14" s="146"/>
      <c r="T14" s="13"/>
    </row>
    <row r="15" spans="1:20" ht="31.7" customHeight="1">
      <c r="A15" s="20"/>
      <c r="B15" s="51"/>
      <c r="C15" s="51"/>
      <c r="D15" s="13"/>
      <c r="E15" s="24"/>
      <c r="F15" s="26"/>
      <c r="G15" s="26"/>
      <c r="H15" s="20"/>
      <c r="I15" s="28"/>
      <c r="J15" s="26"/>
      <c r="K15" s="28"/>
      <c r="L15" s="28"/>
      <c r="M15" s="28"/>
      <c r="N15" s="30"/>
      <c r="O15" s="16"/>
      <c r="P15" s="16"/>
      <c r="Q15" s="16"/>
      <c r="R15" s="16"/>
      <c r="S15" s="146"/>
      <c r="T15" s="13"/>
    </row>
    <row r="16" spans="1:20" ht="31.7" customHeight="1">
      <c r="A16" s="20"/>
      <c r="B16" s="51"/>
      <c r="C16" s="51"/>
      <c r="D16" s="13"/>
      <c r="E16" s="24"/>
      <c r="F16" s="26"/>
      <c r="G16" s="26"/>
      <c r="H16" s="20"/>
      <c r="I16" s="28"/>
      <c r="J16" s="26"/>
      <c r="K16" s="28"/>
      <c r="L16" s="28"/>
      <c r="M16" s="28"/>
      <c r="N16" s="30"/>
      <c r="O16" s="16"/>
      <c r="P16" s="16"/>
      <c r="Q16" s="16"/>
      <c r="R16" s="16"/>
      <c r="S16" s="146"/>
      <c r="T16" s="13"/>
    </row>
    <row r="17" spans="1:20" ht="31.7" customHeight="1">
      <c r="A17" s="20"/>
      <c r="B17" s="51"/>
      <c r="C17" s="51"/>
      <c r="D17" s="13"/>
      <c r="E17" s="24"/>
      <c r="F17" s="26"/>
      <c r="G17" s="26"/>
      <c r="H17" s="20"/>
      <c r="I17" s="28"/>
      <c r="J17" s="26"/>
      <c r="K17" s="28"/>
      <c r="L17" s="28"/>
      <c r="M17" s="28"/>
      <c r="N17" s="30"/>
      <c r="O17" s="16"/>
      <c r="P17" s="16"/>
      <c r="Q17" s="16"/>
      <c r="R17" s="16"/>
      <c r="S17" s="146"/>
      <c r="T17" s="13"/>
    </row>
    <row r="18" spans="1:20" ht="31.7" customHeight="1">
      <c r="A18" s="20"/>
      <c r="B18" s="51"/>
      <c r="C18" s="51"/>
      <c r="D18" s="13"/>
      <c r="E18" s="24"/>
      <c r="F18" s="26"/>
      <c r="G18" s="26"/>
      <c r="H18" s="20"/>
      <c r="I18" s="28"/>
      <c r="J18" s="26"/>
      <c r="K18" s="28"/>
      <c r="L18" s="28"/>
      <c r="M18" s="28"/>
      <c r="N18" s="30"/>
      <c r="O18" s="16"/>
      <c r="P18" s="16"/>
      <c r="Q18" s="16"/>
      <c r="R18" s="16"/>
      <c r="S18" s="146"/>
      <c r="T18" s="13"/>
    </row>
    <row r="19" spans="1:20" ht="31.7" customHeight="1">
      <c r="A19" s="20"/>
      <c r="B19" s="51"/>
      <c r="C19" s="51"/>
      <c r="D19" s="13"/>
      <c r="E19" s="24"/>
      <c r="F19" s="26"/>
      <c r="G19" s="26"/>
      <c r="H19" s="20"/>
      <c r="I19" s="28"/>
      <c r="J19" s="26"/>
      <c r="K19" s="28"/>
      <c r="L19" s="28"/>
      <c r="M19" s="28"/>
      <c r="N19" s="30"/>
      <c r="O19" s="16"/>
      <c r="P19" s="16"/>
      <c r="Q19" s="16"/>
      <c r="R19" s="16"/>
      <c r="S19" s="146"/>
      <c r="T19" s="13"/>
    </row>
    <row r="20" spans="1:20" ht="31.7" customHeight="1">
      <c r="A20" s="20"/>
      <c r="B20" s="51"/>
      <c r="C20" s="51"/>
      <c r="D20" s="13"/>
      <c r="E20" s="24"/>
      <c r="F20" s="26"/>
      <c r="G20" s="26"/>
      <c r="H20" s="20"/>
      <c r="I20" s="28"/>
      <c r="J20" s="26"/>
      <c r="K20" s="28"/>
      <c r="L20" s="28"/>
      <c r="M20" s="28"/>
      <c r="N20" s="30"/>
      <c r="O20" s="16"/>
      <c r="P20" s="16"/>
      <c r="Q20" s="16"/>
      <c r="R20" s="16"/>
      <c r="S20" s="146"/>
      <c r="T20" s="13"/>
    </row>
    <row r="21" spans="1:20" ht="31.7" customHeight="1">
      <c r="A21" s="20"/>
      <c r="B21" s="51"/>
      <c r="C21" s="51"/>
      <c r="D21" s="13"/>
      <c r="E21" s="24"/>
      <c r="F21" s="26"/>
      <c r="G21" s="26"/>
      <c r="H21" s="20"/>
      <c r="I21" s="28"/>
      <c r="J21" s="26"/>
      <c r="K21" s="28"/>
      <c r="L21" s="28"/>
      <c r="M21" s="28"/>
      <c r="N21" s="30"/>
      <c r="O21" s="16"/>
      <c r="P21" s="16"/>
      <c r="Q21" s="16"/>
      <c r="R21" s="16"/>
      <c r="S21" s="146"/>
      <c r="T21" s="13"/>
    </row>
    <row r="22" spans="1:20" ht="31.7" customHeight="1">
      <c r="A22" s="20"/>
      <c r="B22" s="51"/>
      <c r="C22" s="51"/>
      <c r="D22" s="13"/>
      <c r="E22" s="24"/>
      <c r="F22" s="26"/>
      <c r="G22" s="26"/>
      <c r="H22" s="20"/>
      <c r="I22" s="28"/>
      <c r="J22" s="26"/>
      <c r="K22" s="28"/>
      <c r="L22" s="28"/>
      <c r="M22" s="28"/>
      <c r="N22" s="30"/>
      <c r="O22" s="16"/>
      <c r="P22" s="16"/>
      <c r="Q22" s="16"/>
      <c r="R22" s="16"/>
      <c r="S22" s="146"/>
      <c r="T22" s="13"/>
    </row>
    <row r="23" spans="1:20" ht="31.7" customHeight="1">
      <c r="A23" s="20"/>
      <c r="B23" s="51"/>
      <c r="C23" s="51"/>
      <c r="D23" s="13"/>
      <c r="E23" s="24"/>
      <c r="F23" s="26"/>
      <c r="G23" s="26"/>
      <c r="H23" s="20"/>
      <c r="I23" s="28"/>
      <c r="J23" s="26"/>
      <c r="K23" s="28"/>
      <c r="L23" s="28"/>
      <c r="M23" s="28"/>
      <c r="N23" s="30"/>
      <c r="O23" s="16"/>
      <c r="P23" s="16"/>
      <c r="Q23" s="16"/>
      <c r="R23" s="16"/>
      <c r="S23" s="148"/>
      <c r="T23" s="13"/>
    </row>
    <row r="24" spans="1:20" ht="31.7" customHeight="1">
      <c r="A24" s="20"/>
      <c r="B24" s="51"/>
      <c r="C24" s="51"/>
      <c r="D24" s="13"/>
      <c r="E24" s="24"/>
      <c r="F24" s="26"/>
      <c r="G24" s="26"/>
      <c r="H24" s="20"/>
      <c r="I24" s="28"/>
      <c r="J24" s="26"/>
      <c r="K24" s="28"/>
      <c r="L24" s="28"/>
      <c r="M24" s="28"/>
      <c r="N24" s="30"/>
      <c r="O24" s="16"/>
      <c r="P24" s="16"/>
      <c r="Q24" s="16"/>
      <c r="R24" s="16"/>
      <c r="S24" s="148"/>
      <c r="T24" s="13"/>
    </row>
    <row r="25" spans="1:20" ht="31.7" customHeight="1">
      <c r="A25" s="20"/>
      <c r="B25" s="51"/>
      <c r="C25" s="51"/>
      <c r="D25" s="13"/>
      <c r="E25" s="24"/>
      <c r="F25" s="26"/>
      <c r="G25" s="26"/>
      <c r="H25" s="20"/>
      <c r="I25" s="28"/>
      <c r="J25" s="26"/>
      <c r="K25" s="28"/>
      <c r="L25" s="28"/>
      <c r="M25" s="28"/>
      <c r="N25" s="30"/>
      <c r="O25" s="16"/>
      <c r="P25" s="16"/>
      <c r="Q25" s="16"/>
      <c r="R25" s="16"/>
      <c r="S25" s="148"/>
      <c r="T25" s="13"/>
    </row>
    <row r="26" spans="1:20" ht="31.7" customHeight="1">
      <c r="A26" s="20"/>
      <c r="B26" s="51"/>
      <c r="C26" s="51"/>
      <c r="D26" s="13"/>
      <c r="E26" s="24"/>
      <c r="F26" s="26"/>
      <c r="G26" s="26"/>
      <c r="H26" s="20"/>
      <c r="I26" s="28"/>
      <c r="J26" s="26"/>
      <c r="K26" s="28"/>
      <c r="L26" s="28"/>
      <c r="M26" s="28"/>
      <c r="N26" s="30"/>
      <c r="O26" s="16"/>
      <c r="P26" s="16"/>
      <c r="Q26" s="16"/>
      <c r="R26" s="16"/>
      <c r="S26" s="148"/>
      <c r="T26" s="13"/>
    </row>
    <row r="27" spans="1:20" ht="31.7" customHeight="1">
      <c r="A27" s="20"/>
      <c r="B27" s="51"/>
      <c r="C27" s="51"/>
      <c r="D27" s="13"/>
      <c r="E27" s="24"/>
      <c r="F27" s="26"/>
      <c r="G27" s="26"/>
      <c r="H27" s="20"/>
      <c r="I27" s="28"/>
      <c r="J27" s="26"/>
      <c r="K27" s="28"/>
      <c r="L27" s="28"/>
      <c r="M27" s="28"/>
      <c r="N27" s="30"/>
      <c r="O27" s="16"/>
      <c r="P27" s="16"/>
      <c r="Q27" s="16"/>
      <c r="R27" s="16"/>
      <c r="S27" s="148"/>
      <c r="T27" s="13"/>
    </row>
    <row r="28" spans="1:20" ht="31.7" customHeight="1">
      <c r="A28" s="20"/>
      <c r="B28" s="51"/>
      <c r="C28" s="51"/>
      <c r="D28" s="13"/>
      <c r="E28" s="24"/>
      <c r="F28" s="26"/>
      <c r="G28" s="26"/>
      <c r="H28" s="20"/>
      <c r="I28" s="28"/>
      <c r="J28" s="26"/>
      <c r="K28" s="28"/>
      <c r="L28" s="28"/>
      <c r="M28" s="28"/>
      <c r="N28" s="30"/>
      <c r="O28" s="16"/>
      <c r="P28" s="16"/>
      <c r="Q28" s="16"/>
      <c r="R28" s="16"/>
      <c r="S28" s="148"/>
      <c r="T28" s="13"/>
    </row>
    <row r="29" spans="1:20" ht="31.7" customHeight="1" thickBot="1">
      <c r="A29" s="20"/>
      <c r="B29" s="51"/>
      <c r="C29" s="51"/>
      <c r="D29" s="13"/>
      <c r="E29" s="24"/>
      <c r="F29" s="26"/>
      <c r="G29" s="26"/>
      <c r="H29" s="20"/>
      <c r="I29" s="28"/>
      <c r="J29" s="26"/>
      <c r="K29" s="28"/>
      <c r="L29" s="28"/>
      <c r="M29" s="28"/>
      <c r="N29" s="30"/>
      <c r="O29" s="16"/>
      <c r="P29" s="16"/>
      <c r="Q29" s="16"/>
      <c r="R29" s="16"/>
      <c r="S29" s="148"/>
      <c r="T29" s="13"/>
    </row>
    <row r="30" spans="1:20" ht="31.7" customHeight="1" thickBot="1">
      <c r="A30" s="759" t="s">
        <v>262</v>
      </c>
      <c r="B30" s="760"/>
      <c r="C30" s="760"/>
      <c r="D30" s="760"/>
      <c r="E30" s="760"/>
      <c r="F30" s="760"/>
      <c r="G30" s="760"/>
      <c r="H30" s="760"/>
      <c r="I30" s="760"/>
      <c r="J30" s="760"/>
      <c r="K30" s="760"/>
      <c r="L30" s="760"/>
      <c r="M30" s="761"/>
      <c r="N30" s="184">
        <f>SUM(N6:N29)</f>
        <v>17270</v>
      </c>
      <c r="O30" s="183"/>
      <c r="P30" s="182"/>
      <c r="Q30" s="182"/>
      <c r="R30" s="182"/>
      <c r="S30" s="181"/>
      <c r="T30" s="180"/>
    </row>
    <row r="31" spans="1:20" ht="31.7" customHeight="1">
      <c r="A31" s="1"/>
      <c r="B31" s="1"/>
      <c r="C31" s="1"/>
      <c r="D31" s="1"/>
      <c r="E31" s="1"/>
      <c r="F31" s="2"/>
      <c r="G31" s="2"/>
      <c r="H31" s="2"/>
      <c r="I31" s="1"/>
      <c r="J31" s="1"/>
      <c r="K31" s="1"/>
      <c r="L31" s="1"/>
      <c r="M31" s="1"/>
      <c r="N31" s="179" t="s">
        <v>267</v>
      </c>
      <c r="O31" s="179" t="s">
        <v>267</v>
      </c>
      <c r="P31" s="2"/>
      <c r="Q31" s="2"/>
      <c r="R31" s="2"/>
      <c r="S31" s="1"/>
      <c r="T31" s="4"/>
    </row>
  </sheetData>
  <mergeCells count="7">
    <mergeCell ref="A30:M30"/>
    <mergeCell ref="T4:T5"/>
    <mergeCell ref="B1:N1"/>
    <mergeCell ref="B2:R2"/>
    <mergeCell ref="B3:R3"/>
    <mergeCell ref="A4:N4"/>
    <mergeCell ref="O4:S4"/>
  </mergeCells>
  <dataValidations count="1">
    <dataValidation allowBlank="1" showInputMessage="1" showErrorMessage="1" promptTitle="Enter Justification"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90CF788-4E28-9546-B8EA-5DB8798CA572}"/>
  </dataValidation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3444-E585-FA47-9A6E-76BCDF01C8FB}">
  <dimension ref="A1:T29"/>
  <sheetViews>
    <sheetView zoomScale="130" zoomScaleNormal="130" workbookViewId="0">
      <selection activeCell="J8" sqref="J8"/>
    </sheetView>
  </sheetViews>
  <sheetFormatPr defaultColWidth="8.875" defaultRowHeight="15.95"/>
  <cols>
    <col min="1" max="3" width="8.875" style="5"/>
    <col min="4" max="4" width="29.125" style="5" customWidth="1"/>
    <col min="5" max="5" width="27.125" style="5" customWidth="1"/>
    <col min="6" max="8" width="8.875" style="178"/>
    <col min="9" max="9" width="10.125" style="5" customWidth="1"/>
    <col min="10" max="10" width="9.125" style="230" bestFit="1" customWidth="1"/>
    <col min="11" max="11" width="10.375" style="5" bestFit="1" customWidth="1"/>
    <col min="12" max="12" width="10.625" style="5" customWidth="1"/>
    <col min="13" max="13" width="8.875" style="5"/>
    <col min="14" max="14" width="14.625" style="5" customWidth="1"/>
    <col min="15" max="19" width="8.875" style="5"/>
    <col min="20" max="20" width="31.375" style="177" customWidth="1"/>
    <col min="21" max="16384" width="8.875" style="5"/>
  </cols>
  <sheetData>
    <row r="1" spans="1:20">
      <c r="A1" s="1"/>
      <c r="B1" s="725" t="s">
        <v>40</v>
      </c>
      <c r="C1" s="725"/>
      <c r="D1" s="725"/>
      <c r="E1" s="725"/>
      <c r="F1" s="725"/>
      <c r="G1" s="725"/>
      <c r="H1" s="725"/>
      <c r="I1" s="725"/>
      <c r="J1" s="725"/>
      <c r="K1" s="725"/>
      <c r="L1" s="725"/>
      <c r="M1" s="725"/>
      <c r="N1" s="725"/>
      <c r="O1" s="2"/>
      <c r="P1" s="2"/>
      <c r="Q1" s="2"/>
      <c r="R1" s="2"/>
      <c r="S1" s="1"/>
      <c r="T1" s="4"/>
    </row>
    <row r="2" spans="1:20">
      <c r="A2" s="1"/>
      <c r="B2" s="726" t="s">
        <v>548</v>
      </c>
      <c r="C2" s="732"/>
      <c r="D2" s="733"/>
      <c r="E2" s="733"/>
      <c r="F2" s="733"/>
      <c r="G2" s="733"/>
      <c r="H2" s="733"/>
      <c r="I2" s="733"/>
      <c r="J2" s="733"/>
      <c r="K2" s="733"/>
      <c r="L2" s="733"/>
      <c r="M2" s="733"/>
      <c r="N2" s="733"/>
      <c r="O2" s="733"/>
      <c r="P2" s="733"/>
      <c r="Q2" s="733"/>
      <c r="R2" s="734"/>
      <c r="S2" s="1"/>
      <c r="T2" s="4"/>
    </row>
    <row r="3" spans="1:20" ht="94.5" customHeight="1">
      <c r="A3" s="1"/>
      <c r="B3" s="727" t="s">
        <v>42</v>
      </c>
      <c r="C3" s="735"/>
      <c r="D3" s="736"/>
      <c r="E3" s="736"/>
      <c r="F3" s="736"/>
      <c r="G3" s="736"/>
      <c r="H3" s="736"/>
      <c r="I3" s="736"/>
      <c r="J3" s="736"/>
      <c r="K3" s="736"/>
      <c r="L3" s="736"/>
      <c r="M3" s="736"/>
      <c r="N3" s="736"/>
      <c r="O3" s="736"/>
      <c r="P3" s="736"/>
      <c r="Q3" s="736"/>
      <c r="R3" s="736"/>
      <c r="S3" s="1"/>
      <c r="T3" s="4"/>
    </row>
    <row r="4" spans="1:20" ht="23.1">
      <c r="A4" s="728"/>
      <c r="B4" s="728"/>
      <c r="C4" s="728"/>
      <c r="D4" s="728"/>
      <c r="E4" s="728"/>
      <c r="F4" s="728"/>
      <c r="G4" s="728"/>
      <c r="H4" s="728"/>
      <c r="I4" s="728"/>
      <c r="J4" s="728"/>
      <c r="K4" s="728"/>
      <c r="L4" s="728"/>
      <c r="M4" s="728"/>
      <c r="N4" s="728"/>
      <c r="O4" s="729" t="s">
        <v>43</v>
      </c>
      <c r="P4" s="729"/>
      <c r="Q4" s="729"/>
      <c r="R4" s="729"/>
      <c r="S4" s="746"/>
      <c r="T4" s="724" t="s">
        <v>44</v>
      </c>
    </row>
    <row r="5" spans="1:20" ht="156">
      <c r="A5" s="7" t="s">
        <v>45</v>
      </c>
      <c r="B5" s="8" t="s">
        <v>46</v>
      </c>
      <c r="C5" s="8" t="s">
        <v>47</v>
      </c>
      <c r="D5" s="9" t="s">
        <v>48</v>
      </c>
      <c r="E5" s="9" t="s">
        <v>49</v>
      </c>
      <c r="F5" s="7" t="s">
        <v>50</v>
      </c>
      <c r="G5" s="7" t="s">
        <v>51</v>
      </c>
      <c r="H5" s="7" t="s">
        <v>52</v>
      </c>
      <c r="I5" s="7" t="s">
        <v>53</v>
      </c>
      <c r="J5" s="243" t="s">
        <v>54</v>
      </c>
      <c r="K5" s="10" t="s">
        <v>55</v>
      </c>
      <c r="L5" s="7" t="s">
        <v>56</v>
      </c>
      <c r="M5" s="7" t="s">
        <v>57</v>
      </c>
      <c r="N5" s="7" t="s">
        <v>58</v>
      </c>
      <c r="O5" s="11" t="s">
        <v>59</v>
      </c>
      <c r="P5" s="11" t="s">
        <v>60</v>
      </c>
      <c r="Q5" s="11" t="s">
        <v>61</v>
      </c>
      <c r="R5" s="11" t="s">
        <v>62</v>
      </c>
      <c r="S5" s="143" t="s">
        <v>105</v>
      </c>
      <c r="T5" s="745"/>
    </row>
    <row r="6" spans="1:20" ht="87" customHeight="1">
      <c r="A6" s="20" t="s">
        <v>549</v>
      </c>
      <c r="B6" s="51" t="s">
        <v>64</v>
      </c>
      <c r="C6" s="51" t="s">
        <v>65</v>
      </c>
      <c r="D6" s="24" t="s">
        <v>550</v>
      </c>
      <c r="E6" s="24" t="s">
        <v>551</v>
      </c>
      <c r="F6" s="26" t="s">
        <v>75</v>
      </c>
      <c r="G6" s="26" t="s">
        <v>552</v>
      </c>
      <c r="H6" s="26" t="s">
        <v>553</v>
      </c>
      <c r="I6" s="242" t="s">
        <v>554</v>
      </c>
      <c r="J6" s="238">
        <v>1</v>
      </c>
      <c r="K6" s="232">
        <v>300</v>
      </c>
      <c r="L6" s="232">
        <f>1.09*300</f>
        <v>327</v>
      </c>
      <c r="M6" s="232" t="s">
        <v>555</v>
      </c>
      <c r="N6" s="144" t="s">
        <v>556</v>
      </c>
      <c r="O6" s="36"/>
      <c r="P6" s="145">
        <v>360</v>
      </c>
      <c r="Q6" s="36"/>
      <c r="R6" s="36"/>
      <c r="S6" s="146"/>
      <c r="T6" s="13"/>
    </row>
    <row r="7" spans="1:20" ht="87" customHeight="1">
      <c r="A7" s="20" t="s">
        <v>557</v>
      </c>
      <c r="B7" s="51" t="s">
        <v>558</v>
      </c>
      <c r="C7" s="51" t="s">
        <v>94</v>
      </c>
      <c r="D7" s="24" t="s">
        <v>559</v>
      </c>
      <c r="E7" s="24" t="s">
        <v>560</v>
      </c>
      <c r="F7" s="26" t="s">
        <v>298</v>
      </c>
      <c r="G7" s="26" t="s">
        <v>69</v>
      </c>
      <c r="H7" s="26">
        <v>1</v>
      </c>
      <c r="I7" s="241" t="s">
        <v>561</v>
      </c>
      <c r="J7" s="238">
        <v>15</v>
      </c>
      <c r="K7" s="232">
        <v>1500</v>
      </c>
      <c r="L7" s="232">
        <v>1635</v>
      </c>
      <c r="M7" s="232">
        <v>0</v>
      </c>
      <c r="N7" s="144">
        <v>1635</v>
      </c>
      <c r="O7" s="145">
        <v>1635</v>
      </c>
      <c r="P7" s="36"/>
      <c r="Q7" s="36"/>
      <c r="R7" s="36"/>
      <c r="S7" s="146"/>
      <c r="T7" s="13"/>
    </row>
    <row r="8" spans="1:20" ht="87" customHeight="1">
      <c r="A8" s="20" t="s">
        <v>562</v>
      </c>
      <c r="B8" s="51" t="s">
        <v>286</v>
      </c>
      <c r="C8" s="51" t="s">
        <v>563</v>
      </c>
      <c r="D8" s="24" t="s">
        <v>564</v>
      </c>
      <c r="E8" s="24" t="s">
        <v>565</v>
      </c>
      <c r="F8" s="26" t="s">
        <v>75</v>
      </c>
      <c r="G8" s="26" t="s">
        <v>69</v>
      </c>
      <c r="H8" s="26">
        <v>1</v>
      </c>
      <c r="I8" s="232" t="s">
        <v>566</v>
      </c>
      <c r="J8" s="238">
        <v>6</v>
      </c>
      <c r="K8" s="232">
        <v>3000</v>
      </c>
      <c r="L8" s="232" t="s">
        <v>281</v>
      </c>
      <c r="M8" s="232"/>
      <c r="N8" s="144">
        <v>3000</v>
      </c>
      <c r="O8" s="36"/>
      <c r="P8" s="36"/>
      <c r="Q8" s="145">
        <v>3000</v>
      </c>
      <c r="R8" s="36"/>
      <c r="S8" s="146"/>
      <c r="T8" s="13"/>
    </row>
    <row r="9" spans="1:20" ht="87" customHeight="1">
      <c r="A9" s="20" t="s">
        <v>562</v>
      </c>
      <c r="B9" s="51" t="s">
        <v>64</v>
      </c>
      <c r="C9" s="51" t="s">
        <v>567</v>
      </c>
      <c r="D9" s="24" t="s">
        <v>568</v>
      </c>
      <c r="E9" s="24" t="s">
        <v>569</v>
      </c>
      <c r="F9" s="20" t="s">
        <v>75</v>
      </c>
      <c r="G9" s="26" t="s">
        <v>69</v>
      </c>
      <c r="H9" s="26">
        <v>1</v>
      </c>
      <c r="I9" s="239" t="s">
        <v>570</v>
      </c>
      <c r="J9" s="238">
        <v>10</v>
      </c>
      <c r="K9" s="232">
        <v>5000</v>
      </c>
      <c r="L9" s="232" t="s">
        <v>281</v>
      </c>
      <c r="M9" s="232">
        <v>0</v>
      </c>
      <c r="N9" s="144">
        <v>5000</v>
      </c>
      <c r="O9" s="36"/>
      <c r="P9" s="36"/>
      <c r="Q9" s="145">
        <v>5000</v>
      </c>
      <c r="R9" s="36"/>
      <c r="S9" s="146"/>
      <c r="T9" s="13"/>
    </row>
    <row r="10" spans="1:20" ht="31.7" customHeight="1">
      <c r="A10" s="20" t="s">
        <v>562</v>
      </c>
      <c r="B10" s="51" t="s">
        <v>64</v>
      </c>
      <c r="C10" s="51" t="s">
        <v>571</v>
      </c>
      <c r="D10" s="13" t="s">
        <v>572</v>
      </c>
      <c r="E10" s="24" t="s">
        <v>573</v>
      </c>
      <c r="F10" s="26" t="s">
        <v>75</v>
      </c>
      <c r="G10" s="26" t="s">
        <v>69</v>
      </c>
      <c r="H10" s="20">
        <v>1</v>
      </c>
      <c r="I10" s="232" t="s">
        <v>574</v>
      </c>
      <c r="J10" s="240">
        <v>3</v>
      </c>
      <c r="K10" s="232">
        <v>6000</v>
      </c>
      <c r="L10" s="232"/>
      <c r="M10" s="232"/>
      <c r="N10" s="144">
        <v>6000</v>
      </c>
      <c r="O10" s="16"/>
      <c r="P10" s="16"/>
      <c r="Q10" s="147">
        <v>6000</v>
      </c>
      <c r="R10" s="16"/>
      <c r="S10" s="148"/>
      <c r="T10" s="13"/>
    </row>
    <row r="11" spans="1:20" ht="31.7" customHeight="1">
      <c r="A11" s="20" t="s">
        <v>562</v>
      </c>
      <c r="B11" s="51" t="s">
        <v>64</v>
      </c>
      <c r="C11" s="51" t="s">
        <v>575</v>
      </c>
      <c r="D11" s="13" t="s">
        <v>576</v>
      </c>
      <c r="E11" s="24" t="s">
        <v>577</v>
      </c>
      <c r="F11" s="26" t="s">
        <v>75</v>
      </c>
      <c r="G11" s="26" t="s">
        <v>69</v>
      </c>
      <c r="H11" s="149">
        <v>1</v>
      </c>
      <c r="I11" s="232">
        <v>350</v>
      </c>
      <c r="J11" s="240">
        <v>3</v>
      </c>
      <c r="K11" s="232">
        <v>350</v>
      </c>
      <c r="L11" s="232"/>
      <c r="M11" s="232"/>
      <c r="N11" s="144">
        <v>350</v>
      </c>
      <c r="O11" s="16"/>
      <c r="P11" s="16"/>
      <c r="Q11" s="147">
        <v>350</v>
      </c>
      <c r="R11" s="16"/>
      <c r="S11" s="148"/>
      <c r="T11" s="13"/>
    </row>
    <row r="12" spans="1:20" ht="87" customHeight="1">
      <c r="A12" s="32" t="s">
        <v>562</v>
      </c>
      <c r="B12" s="51" t="s">
        <v>87</v>
      </c>
      <c r="C12" s="51" t="s">
        <v>94</v>
      </c>
      <c r="D12" s="24" t="s">
        <v>578</v>
      </c>
      <c r="E12" s="24" t="s">
        <v>579</v>
      </c>
      <c r="F12" s="20" t="s">
        <v>580</v>
      </c>
      <c r="G12" s="26" t="s">
        <v>76</v>
      </c>
      <c r="H12" s="26">
        <v>1</v>
      </c>
      <c r="I12" s="239" t="s">
        <v>581</v>
      </c>
      <c r="J12" s="238">
        <v>35</v>
      </c>
      <c r="K12" s="232">
        <v>2500</v>
      </c>
      <c r="L12" s="232">
        <v>2725</v>
      </c>
      <c r="M12" s="232">
        <v>0</v>
      </c>
      <c r="N12" s="144">
        <v>2725</v>
      </c>
      <c r="O12" s="36"/>
      <c r="P12" s="36"/>
      <c r="Q12" s="145">
        <v>2725</v>
      </c>
      <c r="R12" s="36"/>
      <c r="S12" s="233"/>
      <c r="T12" s="13"/>
    </row>
    <row r="13" spans="1:20" customFormat="1">
      <c r="A13" s="235" t="s">
        <v>582</v>
      </c>
      <c r="B13" s="235" t="s">
        <v>118</v>
      </c>
      <c r="C13" s="235" t="s">
        <v>234</v>
      </c>
      <c r="D13" s="235" t="s">
        <v>583</v>
      </c>
      <c r="E13" s="235"/>
      <c r="F13" s="235"/>
      <c r="G13" s="235"/>
      <c r="H13" s="235" t="s">
        <v>584</v>
      </c>
      <c r="I13" s="236">
        <v>100000</v>
      </c>
      <c r="J13" s="235" t="s">
        <v>585</v>
      </c>
      <c r="K13" s="235"/>
      <c r="L13" s="235"/>
      <c r="M13" s="235"/>
      <c r="N13" s="234"/>
      <c r="O13" s="16"/>
      <c r="P13" s="16"/>
      <c r="Q13" s="16"/>
      <c r="R13" s="16"/>
      <c r="S13" s="233"/>
      <c r="T13" s="234"/>
    </row>
    <row r="14" spans="1:20" customFormat="1" ht="66">
      <c r="A14" s="237" t="s">
        <v>586</v>
      </c>
      <c r="B14" s="235" t="s">
        <v>64</v>
      </c>
      <c r="C14" s="237" t="s">
        <v>234</v>
      </c>
      <c r="D14" s="237" t="s">
        <v>587</v>
      </c>
      <c r="E14" s="237" t="s">
        <v>588</v>
      </c>
      <c r="F14" s="235"/>
      <c r="G14" s="235"/>
      <c r="H14" s="235" t="s">
        <v>584</v>
      </c>
      <c r="I14" s="236">
        <v>100000</v>
      </c>
      <c r="J14" s="235" t="s">
        <v>585</v>
      </c>
      <c r="K14" s="235"/>
      <c r="L14" s="235"/>
      <c r="M14" s="235"/>
      <c r="N14" s="234"/>
      <c r="O14" s="16"/>
      <c r="P14" s="16"/>
      <c r="Q14" s="16"/>
      <c r="R14" s="16"/>
      <c r="S14" s="233"/>
      <c r="T14" s="234"/>
    </row>
    <row r="15" spans="1:20" ht="31.7" customHeight="1">
      <c r="A15" s="20"/>
      <c r="B15" s="51"/>
      <c r="C15" s="51"/>
      <c r="D15" s="13"/>
      <c r="E15" s="24"/>
      <c r="F15" s="26"/>
      <c r="G15" s="26"/>
      <c r="H15" s="20"/>
      <c r="I15" s="232"/>
      <c r="J15" s="231"/>
      <c r="K15" s="232"/>
      <c r="L15" s="232"/>
      <c r="M15" s="232"/>
      <c r="N15" s="144"/>
      <c r="O15" s="16"/>
      <c r="P15" s="16"/>
      <c r="Q15" s="16"/>
      <c r="R15" s="16"/>
      <c r="S15" s="233"/>
      <c r="T15" s="13"/>
    </row>
    <row r="16" spans="1:20" ht="31.7" customHeight="1">
      <c r="A16" s="20"/>
      <c r="B16" s="51"/>
      <c r="C16" s="51"/>
      <c r="D16" s="13"/>
      <c r="E16" s="24"/>
      <c r="F16" s="26"/>
      <c r="G16" s="26"/>
      <c r="H16" s="20"/>
      <c r="I16" s="232"/>
      <c r="J16" s="231"/>
      <c r="K16" s="232"/>
      <c r="L16" s="232"/>
      <c r="M16" s="232"/>
      <c r="N16" s="144"/>
      <c r="O16" s="16"/>
      <c r="P16" s="16"/>
      <c r="Q16" s="16"/>
      <c r="R16" s="16"/>
      <c r="S16" s="146"/>
      <c r="T16" s="13"/>
    </row>
    <row r="17" spans="1:20" ht="31.7" customHeight="1">
      <c r="A17" s="20"/>
      <c r="B17" s="51"/>
      <c r="C17" s="51"/>
      <c r="D17" s="13"/>
      <c r="E17" s="24"/>
      <c r="F17" s="26"/>
      <c r="G17" s="26"/>
      <c r="H17" s="20"/>
      <c r="I17" s="232"/>
      <c r="J17" s="231"/>
      <c r="K17" s="232"/>
      <c r="L17" s="232"/>
      <c r="M17" s="232"/>
      <c r="N17" s="144"/>
      <c r="O17" s="16"/>
      <c r="P17" s="16"/>
      <c r="Q17" s="16"/>
      <c r="R17" s="16"/>
      <c r="S17" s="146"/>
      <c r="T17" s="13"/>
    </row>
    <row r="18" spans="1:20" ht="31.7" customHeight="1">
      <c r="A18" s="20"/>
      <c r="B18" s="51"/>
      <c r="C18" s="51"/>
      <c r="D18" s="13"/>
      <c r="E18" s="24"/>
      <c r="F18" s="26"/>
      <c r="G18" s="26"/>
      <c r="H18" s="20"/>
      <c r="I18" s="232"/>
      <c r="J18" s="231"/>
      <c r="K18" s="232"/>
      <c r="L18" s="232"/>
      <c r="M18" s="232"/>
      <c r="N18" s="144"/>
      <c r="O18" s="16"/>
      <c r="P18" s="16"/>
      <c r="Q18" s="16"/>
      <c r="R18" s="16"/>
      <c r="S18" s="146"/>
      <c r="T18" s="13"/>
    </row>
    <row r="19" spans="1:20" ht="31.7" customHeight="1">
      <c r="A19" s="20"/>
      <c r="B19" s="51"/>
      <c r="C19" s="51"/>
      <c r="D19" s="13"/>
      <c r="E19" s="24"/>
      <c r="F19" s="26"/>
      <c r="G19" s="26"/>
      <c r="H19" s="20"/>
      <c r="I19" s="232"/>
      <c r="J19" s="231"/>
      <c r="K19" s="232"/>
      <c r="L19" s="232"/>
      <c r="M19" s="232"/>
      <c r="N19" s="144"/>
      <c r="O19" s="16"/>
      <c r="P19" s="16"/>
      <c r="Q19" s="16"/>
      <c r="R19" s="16"/>
      <c r="S19" s="146"/>
      <c r="T19" s="13"/>
    </row>
    <row r="20" spans="1:20" ht="31.7" customHeight="1">
      <c r="A20" s="20"/>
      <c r="B20" s="51"/>
      <c r="C20" s="51"/>
      <c r="D20" s="13"/>
      <c r="E20" s="24"/>
      <c r="F20" s="26"/>
      <c r="G20" s="26"/>
      <c r="H20" s="20"/>
      <c r="I20" s="232"/>
      <c r="J20" s="231"/>
      <c r="K20" s="232"/>
      <c r="L20" s="232"/>
      <c r="M20" s="232"/>
      <c r="N20" s="144"/>
      <c r="O20" s="16"/>
      <c r="P20" s="16"/>
      <c r="Q20" s="16"/>
      <c r="R20" s="16"/>
      <c r="S20" s="146"/>
      <c r="T20" s="13"/>
    </row>
    <row r="21" spans="1:20" ht="31.7" customHeight="1">
      <c r="A21" s="20"/>
      <c r="B21" s="51"/>
      <c r="C21" s="51"/>
      <c r="D21" s="13"/>
      <c r="E21" s="24"/>
      <c r="F21" s="26"/>
      <c r="G21" s="26"/>
      <c r="H21" s="20"/>
      <c r="I21" s="232"/>
      <c r="J21" s="231"/>
      <c r="K21" s="232"/>
      <c r="L21" s="232"/>
      <c r="M21" s="232"/>
      <c r="N21" s="144"/>
      <c r="O21" s="16"/>
      <c r="P21" s="16"/>
      <c r="Q21" s="16"/>
      <c r="R21" s="16"/>
      <c r="S21" s="148"/>
      <c r="T21" s="13"/>
    </row>
    <row r="22" spans="1:20" ht="31.7" customHeight="1">
      <c r="A22" s="20"/>
      <c r="B22" s="51"/>
      <c r="C22" s="51"/>
      <c r="D22" s="13"/>
      <c r="E22" s="24"/>
      <c r="F22" s="26"/>
      <c r="G22" s="26"/>
      <c r="H22" s="20"/>
      <c r="I22" s="232"/>
      <c r="J22" s="231"/>
      <c r="K22" s="232"/>
      <c r="L22" s="232"/>
      <c r="M22" s="232"/>
      <c r="N22" s="144"/>
      <c r="O22" s="16"/>
      <c r="P22" s="16"/>
      <c r="Q22" s="16"/>
      <c r="R22" s="16"/>
      <c r="S22" s="148"/>
      <c r="T22" s="13"/>
    </row>
    <row r="23" spans="1:20" ht="31.7" customHeight="1">
      <c r="A23" s="20"/>
      <c r="B23" s="51"/>
      <c r="C23" s="51"/>
      <c r="D23" s="13"/>
      <c r="E23" s="24"/>
      <c r="F23" s="26"/>
      <c r="G23" s="26"/>
      <c r="H23" s="20"/>
      <c r="I23" s="232"/>
      <c r="J23" s="231"/>
      <c r="K23" s="232"/>
      <c r="L23" s="232"/>
      <c r="M23" s="232"/>
      <c r="N23" s="144"/>
      <c r="O23" s="16"/>
      <c r="P23" s="16"/>
      <c r="Q23" s="16"/>
      <c r="R23" s="16"/>
      <c r="S23" s="148"/>
      <c r="T23" s="13"/>
    </row>
    <row r="24" spans="1:20" ht="31.7" customHeight="1">
      <c r="A24" s="20"/>
      <c r="B24" s="51"/>
      <c r="C24" s="51"/>
      <c r="D24" s="13"/>
      <c r="E24" s="24"/>
      <c r="F24" s="26"/>
      <c r="G24" s="26"/>
      <c r="H24" s="20"/>
      <c r="I24" s="232"/>
      <c r="J24" s="231"/>
      <c r="K24" s="232"/>
      <c r="L24" s="232"/>
      <c r="M24" s="232"/>
      <c r="N24" s="144"/>
      <c r="O24" s="16"/>
      <c r="P24" s="16"/>
      <c r="Q24" s="16"/>
      <c r="R24" s="16"/>
      <c r="S24" s="148"/>
      <c r="T24" s="13"/>
    </row>
    <row r="25" spans="1:20" ht="31.7" customHeight="1">
      <c r="A25" s="20"/>
      <c r="B25" s="51"/>
      <c r="C25" s="51"/>
      <c r="D25" s="13"/>
      <c r="E25" s="24"/>
      <c r="F25" s="26"/>
      <c r="G25" s="26"/>
      <c r="H25" s="20"/>
      <c r="I25" s="232"/>
      <c r="J25" s="231"/>
      <c r="K25" s="232"/>
      <c r="L25" s="232"/>
      <c r="M25" s="232"/>
      <c r="N25" s="144"/>
      <c r="O25" s="16"/>
      <c r="P25" s="16"/>
      <c r="Q25" s="16"/>
      <c r="R25" s="16"/>
      <c r="S25" s="148"/>
      <c r="T25" s="13"/>
    </row>
    <row r="26" spans="1:20" ht="31.7" customHeight="1">
      <c r="A26" s="20"/>
      <c r="B26" s="51"/>
      <c r="C26" s="51"/>
      <c r="D26" s="13"/>
      <c r="E26" s="24"/>
      <c r="F26" s="26"/>
      <c r="G26" s="26"/>
      <c r="H26" s="20"/>
      <c r="I26" s="28"/>
      <c r="J26" s="231"/>
      <c r="K26" s="28"/>
      <c r="L26" s="28"/>
      <c r="M26" s="28"/>
      <c r="N26" s="30"/>
      <c r="O26" s="16"/>
      <c r="P26" s="16"/>
      <c r="Q26" s="16"/>
      <c r="R26" s="16"/>
      <c r="S26" s="148"/>
      <c r="T26" s="13"/>
    </row>
    <row r="27" spans="1:20" ht="31.7" customHeight="1" thickBot="1">
      <c r="A27" s="20"/>
      <c r="B27" s="51"/>
      <c r="C27" s="51"/>
      <c r="D27" s="13"/>
      <c r="E27" s="24"/>
      <c r="F27" s="26"/>
      <c r="G27" s="26"/>
      <c r="H27" s="20"/>
      <c r="I27" s="28"/>
      <c r="J27" s="231"/>
      <c r="K27" s="28"/>
      <c r="L27" s="28"/>
      <c r="M27" s="28"/>
      <c r="N27" s="30"/>
      <c r="O27" s="16"/>
      <c r="P27" s="16"/>
      <c r="Q27" s="16"/>
      <c r="R27" s="16"/>
      <c r="S27" s="148"/>
      <c r="T27" s="13"/>
    </row>
    <row r="28" spans="1:20" ht="31.7" customHeight="1" thickBot="1">
      <c r="A28" s="759" t="s">
        <v>262</v>
      </c>
      <c r="B28" s="760"/>
      <c r="C28" s="760"/>
      <c r="D28" s="760"/>
      <c r="E28" s="760"/>
      <c r="F28" s="760"/>
      <c r="G28" s="760"/>
      <c r="H28" s="760"/>
      <c r="I28" s="760"/>
      <c r="J28" s="760"/>
      <c r="K28" s="760"/>
      <c r="L28" s="760"/>
      <c r="M28" s="761"/>
      <c r="N28" s="184">
        <f>SUM(N6:N27)</f>
        <v>18710</v>
      </c>
      <c r="O28" s="183"/>
      <c r="P28" s="182"/>
      <c r="Q28" s="182"/>
      <c r="R28" s="182"/>
      <c r="S28" s="181"/>
      <c r="T28" s="180"/>
    </row>
    <row r="29" spans="1:20" ht="31.7" customHeight="1">
      <c r="A29" s="1"/>
      <c r="B29" s="1"/>
      <c r="C29" s="1"/>
      <c r="D29" s="1"/>
      <c r="E29" s="1"/>
      <c r="F29" s="2"/>
      <c r="G29" s="2"/>
      <c r="H29" s="2"/>
      <c r="I29" s="1"/>
      <c r="J29" s="3"/>
      <c r="K29" s="1"/>
      <c r="L29" s="1"/>
      <c r="M29" s="1"/>
      <c r="N29" s="179" t="s">
        <v>267</v>
      </c>
      <c r="O29" s="179" t="s">
        <v>267</v>
      </c>
      <c r="P29" s="2"/>
      <c r="Q29" s="2"/>
      <c r="R29" s="2"/>
      <c r="S29" s="1"/>
      <c r="T29" s="4"/>
    </row>
  </sheetData>
  <mergeCells count="7">
    <mergeCell ref="A28:M28"/>
    <mergeCell ref="T4:T5"/>
    <mergeCell ref="B1:N1"/>
    <mergeCell ref="B2:R2"/>
    <mergeCell ref="B3:R3"/>
    <mergeCell ref="A4:N4"/>
    <mergeCell ref="O4:S4"/>
  </mergeCells>
  <dataValidations count="1">
    <dataValidation allowBlank="1" showInputMessage="1" showErrorMessage="1" promptTitle="Enter Justification" sqref="E6 E8" xr:uid="{00000000-0002-0000-0000-000000000000}"/>
  </dataValidation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DE18-0F7D-BE4A-B30F-1AB398497194}">
  <sheetPr>
    <pageSetUpPr fitToPage="1"/>
  </sheetPr>
  <dimension ref="A1:T32"/>
  <sheetViews>
    <sheetView zoomScaleNormal="100" workbookViewId="0">
      <selection activeCell="H28" sqref="H28"/>
    </sheetView>
  </sheetViews>
  <sheetFormatPr defaultColWidth="8.875" defaultRowHeight="15.95"/>
  <cols>
    <col min="1" max="2" width="8.875" style="5"/>
    <col min="3" max="3" width="13.375" style="5" customWidth="1"/>
    <col min="4" max="4" width="29.125" style="5" customWidth="1"/>
    <col min="5" max="5" width="36" style="5" customWidth="1"/>
    <col min="6" max="7" width="8.875" style="178"/>
    <col min="8" max="8" width="10.875" style="178" customWidth="1"/>
    <col min="9" max="9" width="12.625" style="5" customWidth="1"/>
    <col min="10" max="10" width="9" style="5" bestFit="1" customWidth="1"/>
    <col min="11" max="11" width="13.5" style="5" customWidth="1"/>
    <col min="12" max="12" width="12.875" style="5" customWidth="1"/>
    <col min="13" max="13" width="15" style="5" customWidth="1"/>
    <col min="14" max="14" width="15.625" style="5" customWidth="1"/>
    <col min="15" max="15" width="11.125" style="5" bestFit="1" customWidth="1"/>
    <col min="16" max="16" width="10.5" style="5" customWidth="1"/>
    <col min="17" max="17" width="11.5" style="5" bestFit="1" customWidth="1"/>
    <col min="18" max="18" width="10.5" style="5" bestFit="1" customWidth="1"/>
    <col min="19" max="19" width="8.875" style="5"/>
    <col min="20" max="20" width="31.375" style="177" customWidth="1"/>
    <col min="21" max="16384" width="8.875" style="5"/>
  </cols>
  <sheetData>
    <row r="1" spans="1:20">
      <c r="A1" s="1"/>
      <c r="B1" s="725" t="s">
        <v>40</v>
      </c>
      <c r="C1" s="725"/>
      <c r="D1" s="725"/>
      <c r="E1" s="725"/>
      <c r="F1" s="725"/>
      <c r="G1" s="725"/>
      <c r="H1" s="725"/>
      <c r="I1" s="725"/>
      <c r="J1" s="725"/>
      <c r="K1" s="725"/>
      <c r="L1" s="725"/>
      <c r="M1" s="725"/>
      <c r="N1" s="725"/>
      <c r="O1" s="2"/>
      <c r="P1" s="2"/>
      <c r="Q1" s="2"/>
      <c r="R1" s="2"/>
      <c r="S1" s="1"/>
      <c r="T1" s="4"/>
    </row>
    <row r="2" spans="1:20">
      <c r="A2" s="1"/>
      <c r="B2" s="726" t="s">
        <v>537</v>
      </c>
      <c r="C2" s="732"/>
      <c r="D2" s="733"/>
      <c r="E2" s="733"/>
      <c r="F2" s="733"/>
      <c r="G2" s="733"/>
      <c r="H2" s="733"/>
      <c r="I2" s="733"/>
      <c r="J2" s="733"/>
      <c r="K2" s="733"/>
      <c r="L2" s="733"/>
      <c r="M2" s="733"/>
      <c r="N2" s="733"/>
      <c r="O2" s="733"/>
      <c r="P2" s="733"/>
      <c r="Q2" s="733"/>
      <c r="R2" s="734"/>
      <c r="S2" s="1"/>
      <c r="T2" s="4"/>
    </row>
    <row r="3" spans="1:20" ht="94.5" customHeight="1">
      <c r="A3" s="1"/>
      <c r="B3" s="727" t="s">
        <v>42</v>
      </c>
      <c r="C3" s="735"/>
      <c r="D3" s="736"/>
      <c r="E3" s="736"/>
      <c r="F3" s="736"/>
      <c r="G3" s="736"/>
      <c r="H3" s="736"/>
      <c r="I3" s="736"/>
      <c r="J3" s="736"/>
      <c r="K3" s="736"/>
      <c r="L3" s="736"/>
      <c r="M3" s="736"/>
      <c r="N3" s="736"/>
      <c r="O3" s="736"/>
      <c r="P3" s="736"/>
      <c r="Q3" s="736"/>
      <c r="R3" s="736"/>
      <c r="S3" s="1"/>
      <c r="T3" s="4"/>
    </row>
    <row r="4" spans="1:20" ht="23.1">
      <c r="A4" s="728"/>
      <c r="B4" s="728"/>
      <c r="C4" s="728"/>
      <c r="D4" s="728"/>
      <c r="E4" s="728"/>
      <c r="F4" s="728"/>
      <c r="G4" s="728"/>
      <c r="H4" s="728"/>
      <c r="I4" s="728"/>
      <c r="J4" s="728"/>
      <c r="K4" s="728"/>
      <c r="L4" s="728"/>
      <c r="M4" s="728"/>
      <c r="N4" s="728"/>
      <c r="O4" s="729" t="s">
        <v>43</v>
      </c>
      <c r="P4" s="729"/>
      <c r="Q4" s="729"/>
      <c r="R4" s="729"/>
      <c r="S4" s="746"/>
      <c r="T4" s="724" t="s">
        <v>44</v>
      </c>
    </row>
    <row r="5" spans="1:20" ht="143.1">
      <c r="A5" s="7" t="s">
        <v>45</v>
      </c>
      <c r="B5" s="8" t="s">
        <v>46</v>
      </c>
      <c r="C5" s="8" t="s">
        <v>47</v>
      </c>
      <c r="D5" s="9" t="s">
        <v>48</v>
      </c>
      <c r="E5" s="9" t="s">
        <v>49</v>
      </c>
      <c r="F5" s="7" t="s">
        <v>50</v>
      </c>
      <c r="G5" s="7" t="s">
        <v>51</v>
      </c>
      <c r="H5" s="7" t="s">
        <v>52</v>
      </c>
      <c r="I5" s="7" t="s">
        <v>53</v>
      </c>
      <c r="J5" s="7" t="s">
        <v>54</v>
      </c>
      <c r="K5" s="10" t="s">
        <v>55</v>
      </c>
      <c r="L5" s="7" t="s">
        <v>56</v>
      </c>
      <c r="M5" s="7" t="s">
        <v>57</v>
      </c>
      <c r="N5" s="7" t="s">
        <v>58</v>
      </c>
      <c r="O5" s="11" t="s">
        <v>59</v>
      </c>
      <c r="P5" s="11" t="s">
        <v>60</v>
      </c>
      <c r="Q5" s="11" t="s">
        <v>61</v>
      </c>
      <c r="R5" s="11" t="s">
        <v>62</v>
      </c>
      <c r="S5" s="143" t="s">
        <v>105</v>
      </c>
      <c r="T5" s="745"/>
    </row>
    <row r="6" spans="1:20" s="189" customFormat="1" ht="42">
      <c r="A6" s="200" t="s">
        <v>589</v>
      </c>
      <c r="B6" s="199" t="s">
        <v>590</v>
      </c>
      <c r="C6" s="199" t="s">
        <v>81</v>
      </c>
      <c r="D6" s="198" t="s">
        <v>591</v>
      </c>
      <c r="E6" s="197" t="s">
        <v>592</v>
      </c>
      <c r="F6" s="196" t="s">
        <v>593</v>
      </c>
      <c r="G6" s="196" t="s">
        <v>593</v>
      </c>
      <c r="H6" s="195" t="s">
        <v>594</v>
      </c>
      <c r="I6" s="194">
        <v>2500</v>
      </c>
      <c r="J6" s="195">
        <v>4</v>
      </c>
      <c r="K6" s="194">
        <v>10000</v>
      </c>
      <c r="L6" s="194"/>
      <c r="M6" s="194"/>
      <c r="N6" s="193">
        <v>10000</v>
      </c>
      <c r="O6" s="713"/>
      <c r="P6" s="713"/>
      <c r="Q6" s="716" t="s">
        <v>70</v>
      </c>
      <c r="R6" s="713" t="s">
        <v>70</v>
      </c>
      <c r="S6" s="714"/>
      <c r="T6" s="190"/>
    </row>
    <row r="7" spans="1:20" s="189" customFormat="1" ht="156.94999999999999" customHeight="1">
      <c r="A7" s="223" t="s">
        <v>589</v>
      </c>
      <c r="B7" s="222" t="s">
        <v>64</v>
      </c>
      <c r="C7" s="222" t="s">
        <v>147</v>
      </c>
      <c r="D7" s="222" t="s">
        <v>595</v>
      </c>
      <c r="E7" s="222" t="s">
        <v>596</v>
      </c>
      <c r="F7" s="222" t="s">
        <v>593</v>
      </c>
      <c r="G7" s="222" t="s">
        <v>593</v>
      </c>
      <c r="H7" s="221" t="s">
        <v>597</v>
      </c>
      <c r="I7" s="220">
        <v>932</v>
      </c>
      <c r="J7" s="219">
        <v>12</v>
      </c>
      <c r="K7" s="218">
        <v>11184</v>
      </c>
      <c r="L7" s="217">
        <v>0</v>
      </c>
      <c r="M7" s="216"/>
      <c r="N7" s="193">
        <v>11184</v>
      </c>
      <c r="O7" s="717">
        <f>N7</f>
        <v>11184</v>
      </c>
      <c r="P7" s="192"/>
      <c r="Q7" s="192"/>
      <c r="R7" s="192"/>
      <c r="S7" s="191"/>
      <c r="T7" s="190"/>
    </row>
    <row r="8" spans="1:20" ht="156.94999999999999" customHeight="1">
      <c r="A8" s="282" t="s">
        <v>589</v>
      </c>
      <c r="B8" s="285" t="s">
        <v>590</v>
      </c>
      <c r="C8" s="285" t="s">
        <v>598</v>
      </c>
      <c r="D8" s="284" t="s">
        <v>599</v>
      </c>
      <c r="E8" s="703" t="s">
        <v>600</v>
      </c>
      <c r="F8" s="281" t="s">
        <v>75</v>
      </c>
      <c r="G8" s="281" t="s">
        <v>75</v>
      </c>
      <c r="H8" s="282" t="s">
        <v>601</v>
      </c>
      <c r="I8" s="280">
        <v>2500</v>
      </c>
      <c r="J8" s="281">
        <v>2</v>
      </c>
      <c r="K8" s="280">
        <v>0</v>
      </c>
      <c r="L8" s="280">
        <v>0</v>
      </c>
      <c r="M8" s="280">
        <v>0</v>
      </c>
      <c r="N8" s="299">
        <v>5000</v>
      </c>
      <c r="O8" s="713"/>
      <c r="P8" s="713"/>
      <c r="Q8" s="716" t="s">
        <v>70</v>
      </c>
      <c r="R8" s="713" t="s">
        <v>70</v>
      </c>
      <c r="S8" s="714"/>
      <c r="T8" s="284"/>
    </row>
    <row r="9" spans="1:20" customFormat="1" ht="84.95">
      <c r="A9" s="306" t="s">
        <v>589</v>
      </c>
      <c r="B9" s="305" t="s">
        <v>64</v>
      </c>
      <c r="C9" s="305" t="s">
        <v>294</v>
      </c>
      <c r="D9" s="304" t="s">
        <v>602</v>
      </c>
      <c r="E9" s="304" t="s">
        <v>355</v>
      </c>
      <c r="F9" s="303" t="s">
        <v>298</v>
      </c>
      <c r="G9" s="303" t="s">
        <v>69</v>
      </c>
      <c r="H9" s="302" t="s">
        <v>281</v>
      </c>
      <c r="I9" s="309">
        <v>3000</v>
      </c>
      <c r="J9" s="301">
        <v>3</v>
      </c>
      <c r="K9" s="347">
        <f t="shared" ref="K9" si="0">I9*J9</f>
        <v>9000</v>
      </c>
      <c r="L9" s="347">
        <v>0</v>
      </c>
      <c r="M9" s="350">
        <v>0</v>
      </c>
      <c r="N9" s="300">
        <f t="shared" ref="N9" si="1">SUM(K9:L9)</f>
        <v>9000</v>
      </c>
      <c r="O9" s="713"/>
      <c r="P9" s="713"/>
      <c r="Q9" s="716" t="s">
        <v>70</v>
      </c>
      <c r="R9" s="713" t="s">
        <v>70</v>
      </c>
      <c r="S9" s="714"/>
      <c r="T9" s="234"/>
    </row>
    <row r="10" spans="1:20" customFormat="1" ht="51">
      <c r="A10" s="306" t="s">
        <v>589</v>
      </c>
      <c r="B10" s="305" t="s">
        <v>118</v>
      </c>
      <c r="C10" s="305" t="s">
        <v>147</v>
      </c>
      <c r="D10" s="304" t="s">
        <v>567</v>
      </c>
      <c r="E10" s="715" t="s">
        <v>603</v>
      </c>
      <c r="F10" s="303" t="s">
        <v>298</v>
      </c>
      <c r="G10" s="303" t="s">
        <v>75</v>
      </c>
      <c r="H10" s="302" t="s">
        <v>604</v>
      </c>
      <c r="I10" s="309">
        <v>1000</v>
      </c>
      <c r="J10" s="301">
        <v>3</v>
      </c>
      <c r="K10" s="347">
        <f t="shared" ref="K10" si="2">I10*J10</f>
        <v>3000</v>
      </c>
      <c r="L10" s="347">
        <v>0</v>
      </c>
      <c r="M10" s="350">
        <v>0</v>
      </c>
      <c r="N10" s="300">
        <f t="shared" ref="N10" si="3">SUM(K10:L10)</f>
        <v>3000</v>
      </c>
      <c r="O10" s="713"/>
      <c r="P10" s="713"/>
      <c r="Q10" s="716" t="s">
        <v>70</v>
      </c>
      <c r="R10" s="713" t="s">
        <v>70</v>
      </c>
      <c r="S10" s="714"/>
      <c r="T10" s="234"/>
    </row>
    <row r="11" spans="1:20" s="214" customFormat="1" ht="156.94999999999999" customHeight="1">
      <c r="A11" s="195" t="s">
        <v>605</v>
      </c>
      <c r="B11" s="199" t="s">
        <v>590</v>
      </c>
      <c r="C11" s="199" t="s">
        <v>606</v>
      </c>
      <c r="D11" s="198" t="s">
        <v>607</v>
      </c>
      <c r="E11" s="198" t="s">
        <v>608</v>
      </c>
      <c r="F11" s="196" t="s">
        <v>593</v>
      </c>
      <c r="G11" s="196" t="s">
        <v>609</v>
      </c>
      <c r="H11" s="195" t="s">
        <v>610</v>
      </c>
      <c r="I11" s="194">
        <v>20</v>
      </c>
      <c r="J11" s="195">
        <v>150</v>
      </c>
      <c r="K11" s="194">
        <v>3000</v>
      </c>
      <c r="L11" s="194">
        <v>270</v>
      </c>
      <c r="M11" s="194"/>
      <c r="N11" s="193">
        <v>2498</v>
      </c>
      <c r="O11" s="713"/>
      <c r="P11" s="713"/>
      <c r="Q11" s="716" t="s">
        <v>70</v>
      </c>
      <c r="R11" s="713" t="s">
        <v>70</v>
      </c>
      <c r="S11" s="714"/>
      <c r="T11" s="215"/>
    </row>
    <row r="12" spans="1:20" ht="156.94999999999999" customHeight="1">
      <c r="A12" s="282" t="s">
        <v>605</v>
      </c>
      <c r="B12" s="285" t="s">
        <v>590</v>
      </c>
      <c r="C12" s="285" t="s">
        <v>598</v>
      </c>
      <c r="D12" s="284" t="s">
        <v>599</v>
      </c>
      <c r="E12" s="703" t="s">
        <v>600</v>
      </c>
      <c r="F12" s="281" t="s">
        <v>75</v>
      </c>
      <c r="G12" s="281" t="s">
        <v>75</v>
      </c>
      <c r="H12" s="282" t="s">
        <v>601</v>
      </c>
      <c r="I12" s="280">
        <v>2500</v>
      </c>
      <c r="J12" s="281">
        <v>2</v>
      </c>
      <c r="K12" s="280">
        <v>0</v>
      </c>
      <c r="L12" s="280">
        <v>0</v>
      </c>
      <c r="M12" s="280">
        <v>0</v>
      </c>
      <c r="N12" s="299">
        <v>5000</v>
      </c>
      <c r="O12" s="713"/>
      <c r="P12" s="713"/>
      <c r="Q12" s="716" t="s">
        <v>70</v>
      </c>
      <c r="R12" s="713" t="s">
        <v>70</v>
      </c>
      <c r="S12" s="714"/>
      <c r="T12" s="284"/>
    </row>
    <row r="13" spans="1:20" customFormat="1" ht="84.95">
      <c r="A13" s="306" t="s">
        <v>605</v>
      </c>
      <c r="B13" s="305" t="s">
        <v>64</v>
      </c>
      <c r="C13" s="305" t="s">
        <v>294</v>
      </c>
      <c r="D13" s="304" t="s">
        <v>602</v>
      </c>
      <c r="E13" s="304" t="s">
        <v>355</v>
      </c>
      <c r="F13" s="303" t="s">
        <v>298</v>
      </c>
      <c r="G13" s="303" t="s">
        <v>69</v>
      </c>
      <c r="H13" s="302" t="s">
        <v>281</v>
      </c>
      <c r="I13" s="309">
        <v>3000</v>
      </c>
      <c r="J13" s="301">
        <v>3</v>
      </c>
      <c r="K13" s="347">
        <f t="shared" ref="K13:K14" si="4">I13*J13</f>
        <v>9000</v>
      </c>
      <c r="L13" s="347">
        <v>0</v>
      </c>
      <c r="M13" s="350">
        <v>0</v>
      </c>
      <c r="N13" s="300">
        <f t="shared" ref="N13:N14" si="5">SUM(K13:L13)</f>
        <v>9000</v>
      </c>
      <c r="O13" s="713"/>
      <c r="P13" s="713"/>
      <c r="Q13" s="716" t="s">
        <v>70</v>
      </c>
      <c r="R13" s="713" t="s">
        <v>70</v>
      </c>
      <c r="S13" s="714"/>
      <c r="T13" s="234"/>
    </row>
    <row r="14" spans="1:20" customFormat="1" ht="51">
      <c r="A14" s="306" t="s">
        <v>605</v>
      </c>
      <c r="B14" s="305" t="s">
        <v>118</v>
      </c>
      <c r="C14" s="305" t="s">
        <v>147</v>
      </c>
      <c r="D14" s="304" t="s">
        <v>567</v>
      </c>
      <c r="E14" s="715" t="s">
        <v>603</v>
      </c>
      <c r="F14" s="303" t="s">
        <v>298</v>
      </c>
      <c r="G14" s="303" t="s">
        <v>75</v>
      </c>
      <c r="H14" s="302" t="s">
        <v>604</v>
      </c>
      <c r="I14" s="309">
        <v>1000</v>
      </c>
      <c r="J14" s="301">
        <v>3</v>
      </c>
      <c r="K14" s="347">
        <f t="shared" si="4"/>
        <v>3000</v>
      </c>
      <c r="L14" s="347">
        <v>0</v>
      </c>
      <c r="M14" s="350">
        <v>0</v>
      </c>
      <c r="N14" s="300">
        <f t="shared" si="5"/>
        <v>3000</v>
      </c>
      <c r="O14" s="713"/>
      <c r="P14" s="713"/>
      <c r="Q14" s="716" t="s">
        <v>70</v>
      </c>
      <c r="R14" s="713" t="s">
        <v>70</v>
      </c>
      <c r="S14" s="714"/>
      <c r="T14" s="234"/>
    </row>
    <row r="15" spans="1:20" s="214" customFormat="1" ht="84">
      <c r="A15" s="195" t="s">
        <v>611</v>
      </c>
      <c r="B15" s="199" t="s">
        <v>64</v>
      </c>
      <c r="C15" s="199" t="s">
        <v>72</v>
      </c>
      <c r="D15" s="198" t="s">
        <v>612</v>
      </c>
      <c r="E15" s="198" t="s">
        <v>613</v>
      </c>
      <c r="F15" s="196" t="s">
        <v>593</v>
      </c>
      <c r="G15" s="196" t="s">
        <v>593</v>
      </c>
      <c r="H15" s="196" t="s">
        <v>614</v>
      </c>
      <c r="I15" s="194">
        <v>250</v>
      </c>
      <c r="J15" s="195">
        <v>2</v>
      </c>
      <c r="K15" s="194">
        <v>500</v>
      </c>
      <c r="L15" s="194">
        <v>0</v>
      </c>
      <c r="M15" s="194">
        <v>0</v>
      </c>
      <c r="N15" s="213">
        <v>5500</v>
      </c>
      <c r="O15" s="713"/>
      <c r="P15" s="713"/>
      <c r="Q15" s="716" t="s">
        <v>70</v>
      </c>
      <c r="R15" s="713" t="s">
        <v>70</v>
      </c>
      <c r="S15" s="714"/>
      <c r="T15" s="215"/>
    </row>
    <row r="16" spans="1:20" s="705" customFormat="1" ht="45">
      <c r="A16" s="710" t="s">
        <v>611</v>
      </c>
      <c r="B16" s="712" t="s">
        <v>64</v>
      </c>
      <c r="C16" s="712" t="s">
        <v>65</v>
      </c>
      <c r="D16" s="706" t="s">
        <v>615</v>
      </c>
      <c r="E16" s="711" t="s">
        <v>616</v>
      </c>
      <c r="F16" s="709" t="s">
        <v>593</v>
      </c>
      <c r="G16" s="709" t="s">
        <v>593</v>
      </c>
      <c r="H16" s="710" t="s">
        <v>617</v>
      </c>
      <c r="I16" s="708">
        <v>10000</v>
      </c>
      <c r="J16" s="709">
        <v>2</v>
      </c>
      <c r="K16" s="708">
        <v>0</v>
      </c>
      <c r="L16" s="708">
        <v>0</v>
      </c>
      <c r="M16" s="708">
        <v>0</v>
      </c>
      <c r="N16" s="707">
        <v>20000</v>
      </c>
      <c r="O16" s="713"/>
      <c r="P16" s="713"/>
      <c r="Q16" s="716" t="s">
        <v>70</v>
      </c>
      <c r="R16" s="713" t="s">
        <v>70</v>
      </c>
      <c r="S16" s="714"/>
      <c r="T16" s="706"/>
    </row>
    <row r="17" spans="1:20" s="214" customFormat="1" ht="68.099999999999994">
      <c r="A17" s="702" t="s">
        <v>611</v>
      </c>
      <c r="B17" s="704" t="s">
        <v>590</v>
      </c>
      <c r="C17" s="704" t="s">
        <v>598</v>
      </c>
      <c r="D17" s="698" t="s">
        <v>599</v>
      </c>
      <c r="E17" s="703" t="s">
        <v>600</v>
      </c>
      <c r="F17" s="701" t="s">
        <v>75</v>
      </c>
      <c r="G17" s="701" t="s">
        <v>75</v>
      </c>
      <c r="H17" s="702" t="s">
        <v>601</v>
      </c>
      <c r="I17" s="700">
        <v>2500</v>
      </c>
      <c r="J17" s="701">
        <v>2</v>
      </c>
      <c r="K17" s="700">
        <v>0</v>
      </c>
      <c r="L17" s="700">
        <v>0</v>
      </c>
      <c r="M17" s="700">
        <v>0</v>
      </c>
      <c r="N17" s="699">
        <v>5000</v>
      </c>
      <c r="O17" s="713"/>
      <c r="P17" s="713"/>
      <c r="Q17" s="716" t="s">
        <v>70</v>
      </c>
      <c r="R17" s="713" t="s">
        <v>70</v>
      </c>
      <c r="S17" s="714"/>
      <c r="T17" s="698"/>
    </row>
    <row r="18" spans="1:20" s="214" customFormat="1" ht="84.95">
      <c r="A18" s="195" t="s">
        <v>611</v>
      </c>
      <c r="B18" s="199" t="s">
        <v>64</v>
      </c>
      <c r="C18" s="199" t="s">
        <v>65</v>
      </c>
      <c r="D18" s="197" t="s">
        <v>618</v>
      </c>
      <c r="E18" s="229" t="s">
        <v>619</v>
      </c>
      <c r="F18" s="196" t="s">
        <v>442</v>
      </c>
      <c r="G18" s="196" t="s">
        <v>442</v>
      </c>
      <c r="H18" s="196" t="s">
        <v>620</v>
      </c>
      <c r="I18" s="194">
        <v>10000</v>
      </c>
      <c r="J18" s="195">
        <v>2</v>
      </c>
      <c r="K18" s="194">
        <v>20000</v>
      </c>
      <c r="L18" s="194">
        <v>300</v>
      </c>
      <c r="M18" s="194">
        <v>500</v>
      </c>
      <c r="N18" s="193">
        <v>20800</v>
      </c>
      <c r="O18" s="713"/>
      <c r="P18" s="713"/>
      <c r="Q18" s="713"/>
      <c r="R18" s="713"/>
      <c r="S18" s="714"/>
      <c r="T18" s="215"/>
    </row>
    <row r="19" spans="1:20" customFormat="1" ht="68.099999999999994">
      <c r="A19" s="306" t="s">
        <v>611</v>
      </c>
      <c r="B19" s="305" t="s">
        <v>64</v>
      </c>
      <c r="C19" s="305" t="s">
        <v>294</v>
      </c>
      <c r="D19" s="304" t="s">
        <v>602</v>
      </c>
      <c r="E19" s="304" t="s">
        <v>355</v>
      </c>
      <c r="F19" s="303" t="s">
        <v>298</v>
      </c>
      <c r="G19" s="303" t="s">
        <v>69</v>
      </c>
      <c r="H19" s="302" t="s">
        <v>281</v>
      </c>
      <c r="I19" s="309">
        <v>3000</v>
      </c>
      <c r="J19" s="301">
        <v>3</v>
      </c>
      <c r="K19" s="347">
        <f t="shared" ref="K19:K20" si="6">I19*J19</f>
        <v>9000</v>
      </c>
      <c r="L19" s="347">
        <v>0</v>
      </c>
      <c r="M19" s="350">
        <v>0</v>
      </c>
      <c r="N19" s="300">
        <f t="shared" ref="N19:N20" si="7">SUM(K19:L19)</f>
        <v>9000</v>
      </c>
      <c r="O19" s="713"/>
      <c r="P19" s="713"/>
      <c r="Q19" s="716" t="s">
        <v>70</v>
      </c>
      <c r="R19" s="713" t="s">
        <v>70</v>
      </c>
      <c r="S19" s="714"/>
      <c r="T19" s="234"/>
    </row>
    <row r="20" spans="1:20" customFormat="1" ht="51">
      <c r="A20" s="306" t="s">
        <v>611</v>
      </c>
      <c r="B20" s="305" t="s">
        <v>118</v>
      </c>
      <c r="C20" s="305" t="s">
        <v>147</v>
      </c>
      <c r="D20" s="304" t="s">
        <v>567</v>
      </c>
      <c r="E20" s="715" t="s">
        <v>603</v>
      </c>
      <c r="F20" s="303" t="s">
        <v>298</v>
      </c>
      <c r="G20" s="303" t="s">
        <v>75</v>
      </c>
      <c r="H20" s="302" t="s">
        <v>604</v>
      </c>
      <c r="I20" s="309">
        <v>1000</v>
      </c>
      <c r="J20" s="301">
        <v>3</v>
      </c>
      <c r="K20" s="347">
        <f t="shared" si="6"/>
        <v>3000</v>
      </c>
      <c r="L20" s="347">
        <v>0</v>
      </c>
      <c r="M20" s="350">
        <v>0</v>
      </c>
      <c r="N20" s="300">
        <f t="shared" si="7"/>
        <v>3000</v>
      </c>
      <c r="O20" s="713"/>
      <c r="P20" s="713"/>
      <c r="Q20" s="716" t="s">
        <v>70</v>
      </c>
      <c r="R20" s="713" t="s">
        <v>70</v>
      </c>
      <c r="S20" s="714"/>
      <c r="T20" s="234"/>
    </row>
    <row r="21" spans="1:20" s="189" customFormat="1" ht="111.95">
      <c r="A21" s="226" t="s">
        <v>621</v>
      </c>
      <c r="B21" s="228" t="s">
        <v>622</v>
      </c>
      <c r="C21" s="228" t="s">
        <v>65</v>
      </c>
      <c r="D21" s="198" t="s">
        <v>623</v>
      </c>
      <c r="E21" s="198" t="s">
        <v>624</v>
      </c>
      <c r="F21" s="227" t="s">
        <v>68</v>
      </c>
      <c r="G21" s="227" t="s">
        <v>609</v>
      </c>
      <c r="H21" s="227" t="s">
        <v>620</v>
      </c>
      <c r="I21" s="225">
        <v>650</v>
      </c>
      <c r="J21" s="226">
        <v>20</v>
      </c>
      <c r="K21" s="225">
        <v>13000</v>
      </c>
      <c r="L21" s="225">
        <v>1170</v>
      </c>
      <c r="M21" s="225">
        <v>300</v>
      </c>
      <c r="N21" s="193">
        <v>14470</v>
      </c>
      <c r="O21" s="713"/>
      <c r="P21" s="713"/>
      <c r="Q21" s="713"/>
      <c r="R21" s="713"/>
      <c r="S21" s="714"/>
      <c r="T21" s="190"/>
    </row>
    <row r="22" spans="1:20" ht="27.95">
      <c r="A22" s="195" t="s">
        <v>625</v>
      </c>
      <c r="B22" s="199" t="s">
        <v>64</v>
      </c>
      <c r="C22" s="199" t="s">
        <v>65</v>
      </c>
      <c r="D22" s="198" t="s">
        <v>626</v>
      </c>
      <c r="E22" s="198" t="s">
        <v>627</v>
      </c>
      <c r="F22" s="196" t="s">
        <v>442</v>
      </c>
      <c r="G22" s="196" t="s">
        <v>442</v>
      </c>
      <c r="H22" s="195" t="s">
        <v>620</v>
      </c>
      <c r="I22" s="194">
        <v>10000</v>
      </c>
      <c r="J22" s="196">
        <v>1</v>
      </c>
      <c r="K22" s="194">
        <v>2500</v>
      </c>
      <c r="L22" s="194"/>
      <c r="M22" s="194"/>
      <c r="N22" s="224">
        <v>12500</v>
      </c>
      <c r="O22" s="713"/>
      <c r="P22" s="713"/>
      <c r="Q22" s="713"/>
      <c r="R22" s="713"/>
      <c r="S22" s="714"/>
      <c r="T22" s="13"/>
    </row>
    <row r="23" spans="1:20" s="201" customFormat="1" ht="248.1" customHeight="1">
      <c r="A23" s="205" t="s">
        <v>628</v>
      </c>
      <c r="B23" s="209" t="s">
        <v>64</v>
      </c>
      <c r="C23" s="209" t="s">
        <v>629</v>
      </c>
      <c r="D23" s="201" t="s">
        <v>630</v>
      </c>
      <c r="E23" s="212" t="s">
        <v>631</v>
      </c>
      <c r="F23" s="205" t="s">
        <v>593</v>
      </c>
      <c r="G23" s="205" t="s">
        <v>593</v>
      </c>
      <c r="H23" s="207" t="s">
        <v>632</v>
      </c>
      <c r="I23" s="206">
        <v>3500</v>
      </c>
      <c r="J23" s="205">
        <v>3</v>
      </c>
      <c r="K23" s="206">
        <v>10500</v>
      </c>
      <c r="L23" s="206"/>
      <c r="M23" s="206"/>
      <c r="N23" s="203">
        <v>10500</v>
      </c>
      <c r="O23" s="205"/>
      <c r="P23" s="205"/>
      <c r="Q23" s="205"/>
      <c r="R23" s="205"/>
    </row>
    <row r="24" spans="1:20" s="201" customFormat="1" ht="255.95" customHeight="1">
      <c r="A24" s="205" t="s">
        <v>633</v>
      </c>
      <c r="B24" s="210" t="s">
        <v>64</v>
      </c>
      <c r="C24" s="209" t="s">
        <v>629</v>
      </c>
      <c r="D24" s="201" t="s">
        <v>630</v>
      </c>
      <c r="E24" s="212" t="s">
        <v>631</v>
      </c>
      <c r="F24" s="205" t="s">
        <v>593</v>
      </c>
      <c r="G24" s="205" t="s">
        <v>593</v>
      </c>
      <c r="H24" s="207" t="s">
        <v>632</v>
      </c>
      <c r="I24" s="206">
        <v>3500</v>
      </c>
      <c r="J24" s="205">
        <v>3</v>
      </c>
      <c r="K24" s="204">
        <v>10500</v>
      </c>
      <c r="L24" s="204"/>
      <c r="M24" s="204"/>
      <c r="N24" s="203">
        <v>10500</v>
      </c>
      <c r="O24" s="202"/>
      <c r="P24" s="202"/>
      <c r="Q24" s="202"/>
      <c r="R24" s="202"/>
      <c r="S24" s="211"/>
    </row>
    <row r="25" spans="1:20" s="201" customFormat="1" ht="248.1" customHeight="1">
      <c r="A25" s="205" t="s">
        <v>634</v>
      </c>
      <c r="B25" s="210" t="s">
        <v>64</v>
      </c>
      <c r="C25" s="209" t="s">
        <v>629</v>
      </c>
      <c r="D25" s="201" t="s">
        <v>630</v>
      </c>
      <c r="E25" s="212" t="s">
        <v>631</v>
      </c>
      <c r="F25" s="205" t="s">
        <v>593</v>
      </c>
      <c r="G25" s="205" t="s">
        <v>593</v>
      </c>
      <c r="H25" s="207" t="s">
        <v>632</v>
      </c>
      <c r="I25" s="206">
        <v>3500</v>
      </c>
      <c r="J25" s="205">
        <v>3</v>
      </c>
      <c r="K25" s="204">
        <v>10500</v>
      </c>
      <c r="L25" s="204"/>
      <c r="M25" s="204"/>
      <c r="N25" s="203">
        <v>10500</v>
      </c>
      <c r="O25" s="202"/>
      <c r="P25" s="202"/>
      <c r="Q25" s="202"/>
      <c r="R25" s="202"/>
      <c r="S25" s="211"/>
    </row>
    <row r="26" spans="1:20" s="201" customFormat="1" ht="251.1" customHeight="1">
      <c r="A26" s="205" t="s">
        <v>621</v>
      </c>
      <c r="B26" s="210" t="s">
        <v>64</v>
      </c>
      <c r="C26" s="209" t="s">
        <v>629</v>
      </c>
      <c r="D26" s="201" t="s">
        <v>630</v>
      </c>
      <c r="E26" s="212" t="s">
        <v>631</v>
      </c>
      <c r="F26" s="205" t="s">
        <v>593</v>
      </c>
      <c r="G26" s="205" t="s">
        <v>593</v>
      </c>
      <c r="H26" s="207" t="s">
        <v>632</v>
      </c>
      <c r="I26" s="206">
        <v>3500</v>
      </c>
      <c r="J26" s="205">
        <v>3</v>
      </c>
      <c r="K26" s="204">
        <v>10500</v>
      </c>
      <c r="L26" s="204"/>
      <c r="M26" s="204"/>
      <c r="N26" s="203">
        <v>10500</v>
      </c>
      <c r="O26" s="202"/>
      <c r="P26" s="202"/>
      <c r="Q26" s="202"/>
      <c r="R26" s="202"/>
      <c r="S26" s="211"/>
    </row>
    <row r="27" spans="1:20" s="201" customFormat="1" ht="222.95" customHeight="1">
      <c r="A27" s="205" t="s">
        <v>635</v>
      </c>
      <c r="B27" s="210" t="s">
        <v>64</v>
      </c>
      <c r="C27" s="209" t="s">
        <v>629</v>
      </c>
      <c r="D27" s="201" t="s">
        <v>630</v>
      </c>
      <c r="E27" s="208" t="s">
        <v>631</v>
      </c>
      <c r="F27" s="205" t="s">
        <v>593</v>
      </c>
      <c r="G27" s="205" t="s">
        <v>593</v>
      </c>
      <c r="H27" s="207" t="s">
        <v>632</v>
      </c>
      <c r="I27" s="206">
        <v>3500</v>
      </c>
      <c r="J27" s="205">
        <v>3</v>
      </c>
      <c r="K27" s="204">
        <v>10500</v>
      </c>
      <c r="L27" s="204"/>
      <c r="M27" s="204"/>
      <c r="N27" s="203">
        <v>10500</v>
      </c>
      <c r="O27" s="202"/>
      <c r="P27" s="202"/>
      <c r="Q27" s="202"/>
      <c r="R27" s="202"/>
      <c r="S27" s="202"/>
    </row>
    <row r="28" spans="1:20" s="201" customFormat="1" ht="228" customHeight="1">
      <c r="A28" s="205" t="s">
        <v>625</v>
      </c>
      <c r="B28" s="210" t="s">
        <v>64</v>
      </c>
      <c r="C28" s="209" t="s">
        <v>629</v>
      </c>
      <c r="D28" s="201" t="s">
        <v>630</v>
      </c>
      <c r="E28" s="208" t="s">
        <v>631</v>
      </c>
      <c r="F28" s="205" t="s">
        <v>593</v>
      </c>
      <c r="G28" s="205" t="s">
        <v>593</v>
      </c>
      <c r="H28" s="207" t="s">
        <v>632</v>
      </c>
      <c r="I28" s="206">
        <v>3500</v>
      </c>
      <c r="J28" s="205">
        <v>3</v>
      </c>
      <c r="K28" s="204">
        <v>10500</v>
      </c>
      <c r="L28" s="204"/>
      <c r="M28" s="204"/>
      <c r="N28" s="203">
        <v>10500</v>
      </c>
      <c r="O28" s="202"/>
      <c r="P28" s="202"/>
      <c r="Q28" s="202"/>
      <c r="R28" s="202"/>
      <c r="S28" s="202"/>
    </row>
    <row r="29" spans="1:20" ht="31.7" customHeight="1" thickBot="1">
      <c r="A29" s="20"/>
      <c r="B29" s="51"/>
      <c r="C29" s="51"/>
      <c r="D29" s="13"/>
      <c r="E29" s="24"/>
      <c r="F29" s="26"/>
      <c r="G29" s="26"/>
      <c r="H29" s="20"/>
      <c r="I29" s="28"/>
      <c r="J29" s="26"/>
      <c r="K29" s="28"/>
      <c r="L29" s="28"/>
      <c r="M29" s="28"/>
      <c r="N29" s="30"/>
      <c r="O29" s="16"/>
      <c r="P29" s="16"/>
      <c r="Q29" s="16"/>
      <c r="R29" s="16"/>
      <c r="S29" s="148"/>
      <c r="T29" s="13"/>
    </row>
    <row r="30" spans="1:20" ht="31.7" customHeight="1" thickBot="1">
      <c r="A30" s="759" t="s">
        <v>262</v>
      </c>
      <c r="B30" s="760"/>
      <c r="C30" s="760"/>
      <c r="D30" s="760"/>
      <c r="E30" s="760"/>
      <c r="F30" s="760"/>
      <c r="G30" s="760"/>
      <c r="H30" s="760"/>
      <c r="I30" s="760"/>
      <c r="J30" s="760"/>
      <c r="K30" s="760"/>
      <c r="L30" s="760"/>
      <c r="M30" s="761"/>
      <c r="N30" s="184">
        <f>SUM(N7:N29)</f>
        <v>200952</v>
      </c>
      <c r="O30" s="183"/>
      <c r="P30" s="182"/>
      <c r="Q30" s="182"/>
      <c r="R30" s="182"/>
      <c r="S30" s="181"/>
      <c r="T30" s="180"/>
    </row>
    <row r="31" spans="1:20" ht="31.7" customHeight="1">
      <c r="A31" s="188" t="s">
        <v>636</v>
      </c>
      <c r="N31" s="179" t="s">
        <v>267</v>
      </c>
      <c r="O31" s="179" t="s">
        <v>267</v>
      </c>
      <c r="P31" s="2"/>
      <c r="Q31" s="2"/>
      <c r="R31" s="2"/>
      <c r="S31" s="1"/>
      <c r="T31" s="4"/>
    </row>
    <row r="32" spans="1:20">
      <c r="A32" s="1"/>
      <c r="B32" s="1"/>
      <c r="C32" s="1"/>
      <c r="D32" s="1"/>
      <c r="E32" s="1"/>
      <c r="F32" s="2"/>
      <c r="G32" s="2"/>
      <c r="H32" s="2"/>
      <c r="I32" s="1"/>
      <c r="J32" s="1"/>
      <c r="K32" s="1"/>
      <c r="L32" s="1"/>
      <c r="M32" s="1"/>
    </row>
  </sheetData>
  <mergeCells count="7">
    <mergeCell ref="A30:M30"/>
    <mergeCell ref="T4:T5"/>
    <mergeCell ref="B1:N1"/>
    <mergeCell ref="B2:R2"/>
    <mergeCell ref="B3:R3"/>
    <mergeCell ref="A4:N4"/>
    <mergeCell ref="O4:S4"/>
  </mergeCells>
  <dataValidations count="1">
    <dataValidation allowBlank="1" showInputMessage="1" showErrorMessage="1" promptTitle="Enter Justification" sqref="E6:E7" xr:uid="{00000000-0002-0000-0000-000000000000}"/>
  </dataValidations>
  <pageMargins left="0.7" right="0.7" top="0.75" bottom="0.75" header="0.3" footer="0.3"/>
  <pageSetup scale="2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31D-B7E6-7C48-920B-E7850DF04A15}">
  <dimension ref="A1:H37"/>
  <sheetViews>
    <sheetView workbookViewId="0">
      <selection activeCell="B36" sqref="B36"/>
    </sheetView>
  </sheetViews>
  <sheetFormatPr defaultColWidth="8.875" defaultRowHeight="15"/>
  <cols>
    <col min="1" max="1" width="8.875" style="417"/>
    <col min="2" max="2" width="28.5" style="417" bestFit="1" customWidth="1"/>
    <col min="3" max="3" width="19.5" style="417" customWidth="1"/>
    <col min="4" max="5" width="16" style="417" customWidth="1"/>
    <col min="6" max="6" width="20.125" style="417" bestFit="1" customWidth="1"/>
    <col min="7" max="7" width="14.5" style="417" customWidth="1"/>
    <col min="8" max="8" width="34" style="417" customWidth="1"/>
    <col min="9" max="16384" width="8.875" style="417"/>
  </cols>
  <sheetData>
    <row r="1" spans="1:8" ht="17.100000000000001" thickBot="1">
      <c r="A1" s="427" t="s">
        <v>637</v>
      </c>
      <c r="B1" s="427" t="s">
        <v>638</v>
      </c>
      <c r="C1" s="426" t="s">
        <v>639</v>
      </c>
      <c r="D1" s="425" t="s">
        <v>640</v>
      </c>
      <c r="E1" s="425" t="s">
        <v>641</v>
      </c>
      <c r="F1" s="425" t="s">
        <v>642</v>
      </c>
      <c r="G1" s="425" t="s">
        <v>643</v>
      </c>
    </row>
    <row r="2" spans="1:8" ht="15.95">
      <c r="A2" s="424"/>
      <c r="B2" s="424"/>
      <c r="C2" s="423"/>
      <c r="D2" s="423"/>
      <c r="E2" s="423"/>
      <c r="F2" s="428"/>
      <c r="G2" s="422"/>
    </row>
    <row r="3" spans="1:8" ht="15.95">
      <c r="A3" s="430">
        <v>135032</v>
      </c>
      <c r="B3" s="431" t="s">
        <v>644</v>
      </c>
      <c r="C3" s="431" t="s">
        <v>645</v>
      </c>
      <c r="D3" s="452">
        <v>899791</v>
      </c>
      <c r="E3" s="452"/>
      <c r="F3" s="453"/>
      <c r="G3" s="454"/>
    </row>
    <row r="4" spans="1:8" ht="15.95">
      <c r="A4" s="430">
        <v>135036</v>
      </c>
      <c r="B4" s="431" t="s">
        <v>646</v>
      </c>
      <c r="C4" s="431" t="s">
        <v>645</v>
      </c>
      <c r="D4" s="442">
        <v>509881</v>
      </c>
      <c r="E4" s="442"/>
      <c r="F4" s="432"/>
      <c r="G4" s="454"/>
    </row>
    <row r="5" spans="1:8" ht="15.95">
      <c r="A5" s="430">
        <v>135034</v>
      </c>
      <c r="B5" s="431" t="s">
        <v>647</v>
      </c>
      <c r="C5" s="431" t="s">
        <v>648</v>
      </c>
      <c r="D5" s="442">
        <v>1299475</v>
      </c>
      <c r="E5" s="442"/>
      <c r="F5" s="432"/>
      <c r="G5" s="454"/>
    </row>
    <row r="6" spans="1:8" ht="15.95">
      <c r="A6" s="430">
        <v>135042</v>
      </c>
      <c r="B6" s="431" t="s">
        <v>649</v>
      </c>
      <c r="C6" s="431" t="s">
        <v>648</v>
      </c>
      <c r="D6" s="442">
        <v>714711</v>
      </c>
      <c r="E6" s="442"/>
      <c r="F6" s="432"/>
      <c r="G6" s="454"/>
    </row>
    <row r="7" spans="1:8" ht="15.95">
      <c r="A7" s="430">
        <v>135039</v>
      </c>
      <c r="B7" s="433" t="s">
        <v>650</v>
      </c>
      <c r="C7" s="431" t="s">
        <v>651</v>
      </c>
      <c r="D7" s="442">
        <v>1336327</v>
      </c>
      <c r="E7" s="442"/>
      <c r="F7" s="432"/>
      <c r="G7" s="454"/>
    </row>
    <row r="8" spans="1:8" ht="15.95">
      <c r="A8" s="430">
        <v>135047</v>
      </c>
      <c r="B8" s="433" t="s">
        <v>652</v>
      </c>
      <c r="C8" s="431" t="s">
        <v>651</v>
      </c>
      <c r="D8" s="442">
        <v>734980</v>
      </c>
      <c r="E8" s="442"/>
      <c r="F8" s="432"/>
      <c r="G8" s="454"/>
    </row>
    <row r="9" spans="1:8" ht="15.95">
      <c r="A9" s="434">
        <v>135044</v>
      </c>
      <c r="B9" s="433" t="s">
        <v>653</v>
      </c>
      <c r="C9" s="431" t="s">
        <v>654</v>
      </c>
      <c r="D9" s="442">
        <v>1219544</v>
      </c>
      <c r="E9" s="442"/>
      <c r="F9" s="432"/>
      <c r="G9" s="432"/>
    </row>
    <row r="10" spans="1:8" ht="15.95">
      <c r="A10" s="434">
        <v>135052</v>
      </c>
      <c r="B10" s="433" t="s">
        <v>655</v>
      </c>
      <c r="C10" s="431" t="s">
        <v>654</v>
      </c>
      <c r="D10" s="442">
        <v>670750</v>
      </c>
      <c r="E10" s="442"/>
      <c r="F10" s="432"/>
      <c r="G10" s="454"/>
    </row>
    <row r="11" spans="1:8" ht="15.95">
      <c r="A11" s="446"/>
      <c r="B11" s="447" t="s">
        <v>656</v>
      </c>
      <c r="C11" s="448"/>
      <c r="D11" s="449">
        <f>D3+D5+D7+D9</f>
        <v>4755137</v>
      </c>
      <c r="E11" s="449">
        <v>4755137</v>
      </c>
      <c r="F11" s="455"/>
      <c r="G11" s="455">
        <f>D11-E11</f>
        <v>0</v>
      </c>
    </row>
    <row r="12" spans="1:8" ht="15.95">
      <c r="A12" s="446"/>
      <c r="B12" s="447" t="s">
        <v>657</v>
      </c>
      <c r="C12" s="448"/>
      <c r="D12" s="449">
        <f>D4+D6+D8+D10</f>
        <v>2630322</v>
      </c>
      <c r="E12" s="449">
        <f>2642430-12108-12108</f>
        <v>2618214</v>
      </c>
      <c r="F12" s="449">
        <v>12108</v>
      </c>
      <c r="G12" s="455">
        <f t="shared" ref="G12:G20" si="0">D12-E12</f>
        <v>12108</v>
      </c>
      <c r="H12" s="421"/>
    </row>
    <row r="13" spans="1:8" ht="15.95">
      <c r="A13" s="437">
        <v>135049</v>
      </c>
      <c r="B13" s="438" t="s">
        <v>658</v>
      </c>
      <c r="C13" s="439" t="s">
        <v>659</v>
      </c>
      <c r="D13" s="443">
        <v>1228803</v>
      </c>
      <c r="E13" s="443">
        <v>1228803</v>
      </c>
      <c r="F13" s="440"/>
      <c r="G13" s="456">
        <f t="shared" si="0"/>
        <v>0</v>
      </c>
    </row>
    <row r="14" spans="1:8" ht="15.95">
      <c r="A14" s="437">
        <v>135054</v>
      </c>
      <c r="B14" s="441" t="s">
        <v>660</v>
      </c>
      <c r="C14" s="439" t="s">
        <v>659</v>
      </c>
      <c r="D14" s="443">
        <v>696386</v>
      </c>
      <c r="E14" s="443">
        <v>696386</v>
      </c>
      <c r="F14" s="440"/>
      <c r="G14" s="456">
        <f t="shared" si="0"/>
        <v>0</v>
      </c>
      <c r="H14" s="417" t="s">
        <v>661</v>
      </c>
    </row>
    <row r="15" spans="1:8" ht="15.95">
      <c r="A15" s="516">
        <v>135072</v>
      </c>
      <c r="B15" s="517" t="s">
        <v>662</v>
      </c>
      <c r="C15" s="518" t="s">
        <v>663</v>
      </c>
      <c r="D15" s="519">
        <v>668784</v>
      </c>
      <c r="E15" s="444">
        <f>'Perkins 22_23 Balane'!E22+'Perkins 22_23 Balane'!F22</f>
        <v>163518.07</v>
      </c>
      <c r="F15" s="420"/>
      <c r="G15" s="451">
        <f t="shared" si="0"/>
        <v>505265.93</v>
      </c>
      <c r="H15" s="417" t="s">
        <v>664</v>
      </c>
    </row>
    <row r="16" spans="1:8" ht="15.95">
      <c r="A16" s="516">
        <v>135056</v>
      </c>
      <c r="B16" s="520" t="s">
        <v>665</v>
      </c>
      <c r="C16" s="518" t="s">
        <v>666</v>
      </c>
      <c r="D16" s="519">
        <v>1415933</v>
      </c>
      <c r="E16" s="444">
        <f>'SWP 6 Balance'!E21+'SWP 6 Balance'!F21+'SWP 6 Balance'!G21</f>
        <v>563427.88</v>
      </c>
      <c r="F16" s="420"/>
      <c r="G16" s="451">
        <f t="shared" si="0"/>
        <v>852505.12</v>
      </c>
    </row>
    <row r="17" spans="1:8" ht="15.95">
      <c r="A17" s="516">
        <v>135060</v>
      </c>
      <c r="B17" s="517" t="s">
        <v>667</v>
      </c>
      <c r="C17" s="518" t="s">
        <v>666</v>
      </c>
      <c r="D17" s="519">
        <v>770425</v>
      </c>
      <c r="E17" s="444">
        <f>'SWP 6 Balance'!E34+'SWP 6 Balance'!F34</f>
        <v>344427.98</v>
      </c>
      <c r="F17" s="420"/>
      <c r="G17" s="451">
        <f t="shared" si="0"/>
        <v>425997.02</v>
      </c>
      <c r="H17" s="417" t="s">
        <v>668</v>
      </c>
    </row>
    <row r="18" spans="1:8" ht="15.95">
      <c r="A18" s="514"/>
      <c r="B18" s="514" t="s">
        <v>669</v>
      </c>
      <c r="C18" s="435" t="s">
        <v>670</v>
      </c>
      <c r="D18" s="515"/>
      <c r="E18" s="515"/>
      <c r="F18" s="515"/>
      <c r="G18" s="436"/>
    </row>
    <row r="19" spans="1:8" ht="15.95">
      <c r="A19" s="450">
        <v>135063</v>
      </c>
      <c r="B19" s="418" t="s">
        <v>671</v>
      </c>
      <c r="C19" s="419" t="s">
        <v>672</v>
      </c>
      <c r="D19" s="445">
        <v>1532273</v>
      </c>
      <c r="E19" s="445"/>
      <c r="F19" s="418"/>
      <c r="G19" s="451">
        <f t="shared" si="0"/>
        <v>1532273</v>
      </c>
    </row>
    <row r="20" spans="1:8" ht="15.95">
      <c r="A20" s="418"/>
      <c r="B20" s="418" t="s">
        <v>673</v>
      </c>
      <c r="C20" s="419" t="s">
        <v>672</v>
      </c>
      <c r="D20" s="445">
        <v>812750</v>
      </c>
      <c r="E20" s="445"/>
      <c r="F20" s="515">
        <v>30000</v>
      </c>
      <c r="G20" s="451">
        <f t="shared" si="0"/>
        <v>812750</v>
      </c>
    </row>
    <row r="21" spans="1:8" hidden="1">
      <c r="A21" s="418"/>
      <c r="B21" s="418" t="s">
        <v>674</v>
      </c>
      <c r="C21" s="419" t="s">
        <v>675</v>
      </c>
      <c r="D21" s="445"/>
      <c r="E21" s="445"/>
      <c r="F21" s="418"/>
      <c r="G21" s="418"/>
    </row>
    <row r="22" spans="1:8" hidden="1">
      <c r="A22" s="418"/>
      <c r="B22" s="418" t="s">
        <v>676</v>
      </c>
      <c r="C22" s="419" t="s">
        <v>675</v>
      </c>
      <c r="D22" s="445"/>
      <c r="E22" s="445"/>
      <c r="F22" s="418"/>
      <c r="G22" s="418"/>
    </row>
    <row r="37" spans="4:4">
      <c r="D37" s="4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C88A-952D-2C4F-BE99-A545E3B224D8}">
  <sheetPr>
    <pageSetUpPr fitToPage="1"/>
  </sheetPr>
  <dimension ref="A1:O44"/>
  <sheetViews>
    <sheetView zoomScale="115" zoomScaleNormal="115" workbookViewId="0">
      <selection activeCell="G14" sqref="G14"/>
    </sheetView>
  </sheetViews>
  <sheetFormatPr defaultColWidth="8.875" defaultRowHeight="15"/>
  <cols>
    <col min="1" max="1" width="3" style="417" customWidth="1"/>
    <col min="2" max="2" width="18.5" style="417" bestFit="1" customWidth="1"/>
    <col min="3" max="3" width="8.5" style="417" customWidth="1"/>
    <col min="4" max="4" width="16.625" style="417" bestFit="1" customWidth="1"/>
    <col min="5" max="5" width="13.625" style="417" bestFit="1" customWidth="1"/>
    <col min="6" max="6" width="14.125" style="417" customWidth="1"/>
    <col min="7" max="7" width="13.625" style="417" customWidth="1"/>
    <col min="8" max="8" width="16.125" style="417" bestFit="1" customWidth="1"/>
    <col min="9" max="10" width="2.5" style="417" customWidth="1"/>
    <col min="11" max="12" width="8.875" style="417"/>
    <col min="13" max="13" width="15.5" style="417" bestFit="1" customWidth="1"/>
    <col min="14" max="14" width="11.875" style="417" customWidth="1"/>
    <col min="15" max="16384" width="8.875" style="417"/>
  </cols>
  <sheetData>
    <row r="1" spans="1:15">
      <c r="A1" s="457"/>
      <c r="B1" s="457"/>
      <c r="C1" s="458" t="s">
        <v>677</v>
      </c>
      <c r="D1" s="457"/>
      <c r="E1" s="457"/>
      <c r="F1" s="457"/>
      <c r="G1" s="457" t="s">
        <v>666</v>
      </c>
      <c r="H1" s="457"/>
      <c r="I1" s="457"/>
    </row>
    <row r="2" spans="1:15">
      <c r="A2" s="457"/>
      <c r="B2" s="461" t="s">
        <v>2</v>
      </c>
      <c r="C2" s="461" t="s">
        <v>3</v>
      </c>
      <c r="D2" s="461" t="s">
        <v>678</v>
      </c>
      <c r="E2" s="461" t="s">
        <v>679</v>
      </c>
      <c r="F2" s="461" t="s">
        <v>680</v>
      </c>
      <c r="G2" s="462" t="s">
        <v>681</v>
      </c>
      <c r="H2" s="462" t="s">
        <v>643</v>
      </c>
      <c r="I2" s="457"/>
    </row>
    <row r="3" spans="1:15">
      <c r="A3" s="457"/>
      <c r="B3" s="463" t="s">
        <v>7</v>
      </c>
      <c r="C3" s="463">
        <v>237094</v>
      </c>
      <c r="D3" s="464">
        <v>14310</v>
      </c>
      <c r="E3" s="465">
        <f>13000+520</f>
        <v>13520</v>
      </c>
      <c r="F3" s="466">
        <v>3736.2</v>
      </c>
      <c r="G3" s="467"/>
      <c r="H3" s="468">
        <f>D3-E3-F3-G3</f>
        <v>-2946.2</v>
      </c>
      <c r="I3" s="457"/>
    </row>
    <row r="4" spans="1:15">
      <c r="A4" s="457"/>
      <c r="B4" s="463" t="s">
        <v>8</v>
      </c>
      <c r="C4" s="463">
        <v>237050</v>
      </c>
      <c r="D4" s="464">
        <v>60216</v>
      </c>
      <c r="E4" s="465"/>
      <c r="F4" s="466">
        <v>4884.32</v>
      </c>
      <c r="G4" s="467">
        <v>12244.81</v>
      </c>
      <c r="H4" s="468">
        <f t="shared" ref="H4:H20" si="0">D4-E4-F4-G4</f>
        <v>43086.87</v>
      </c>
      <c r="I4" s="457"/>
    </row>
    <row r="5" spans="1:15">
      <c r="A5" s="457"/>
      <c r="B5" s="463" t="s">
        <v>9</v>
      </c>
      <c r="C5" s="463">
        <v>237051</v>
      </c>
      <c r="D5" s="464">
        <v>60216</v>
      </c>
      <c r="E5" s="465"/>
      <c r="F5" s="466">
        <v>62.09</v>
      </c>
      <c r="G5" s="467"/>
      <c r="H5" s="468">
        <f t="shared" si="0"/>
        <v>60153.91</v>
      </c>
      <c r="I5" s="457"/>
      <c r="M5" s="501" t="s">
        <v>682</v>
      </c>
      <c r="O5" s="499"/>
    </row>
    <row r="6" spans="1:15">
      <c r="A6" s="457"/>
      <c r="B6" s="463" t="s">
        <v>10</v>
      </c>
      <c r="C6" s="463">
        <v>237071</v>
      </c>
      <c r="D6" s="464">
        <v>60216</v>
      </c>
      <c r="E6" s="465"/>
      <c r="F6" s="466"/>
      <c r="G6" s="467"/>
      <c r="H6" s="468">
        <f t="shared" si="0"/>
        <v>60216</v>
      </c>
      <c r="I6" s="457"/>
      <c r="M6" s="503" t="s">
        <v>683</v>
      </c>
      <c r="N6" s="504"/>
    </row>
    <row r="7" spans="1:15">
      <c r="A7" s="457"/>
      <c r="B7" s="463" t="s">
        <v>11</v>
      </c>
      <c r="C7" s="463">
        <v>233002</v>
      </c>
      <c r="D7" s="464">
        <v>10140</v>
      </c>
      <c r="E7" s="465"/>
      <c r="F7" s="466"/>
      <c r="G7" s="467"/>
      <c r="H7" s="468">
        <f t="shared" si="0"/>
        <v>10140</v>
      </c>
      <c r="I7" s="457"/>
      <c r="M7" s="505" t="s">
        <v>684</v>
      </c>
      <c r="N7" s="506">
        <f>15335+11941+8970</f>
        <v>36246</v>
      </c>
    </row>
    <row r="8" spans="1:15">
      <c r="A8" s="457"/>
      <c r="B8" s="463" t="s">
        <v>12</v>
      </c>
      <c r="C8" s="463">
        <v>233009</v>
      </c>
      <c r="D8" s="464">
        <v>7896</v>
      </c>
      <c r="E8" s="465">
        <v>11094.39</v>
      </c>
      <c r="F8" s="466"/>
      <c r="G8" s="467"/>
      <c r="H8" s="468">
        <f t="shared" si="0"/>
        <v>-3198.3899999999994</v>
      </c>
      <c r="I8" s="457"/>
      <c r="M8" s="417" t="s">
        <v>685</v>
      </c>
      <c r="N8" s="417">
        <v>2500</v>
      </c>
    </row>
    <row r="9" spans="1:15">
      <c r="A9" s="457"/>
      <c r="B9" s="463" t="s">
        <v>13</v>
      </c>
      <c r="C9" s="463">
        <v>237059</v>
      </c>
      <c r="D9" s="464">
        <v>15600</v>
      </c>
      <c r="E9" s="465">
        <f>8223.75+328.95</f>
        <v>8552.7000000000007</v>
      </c>
      <c r="F9" s="466">
        <v>-106.67</v>
      </c>
      <c r="G9" s="467"/>
      <c r="H9" s="468">
        <f t="shared" si="0"/>
        <v>7153.9699999999993</v>
      </c>
      <c r="I9" s="457"/>
      <c r="M9" s="505" t="s">
        <v>686</v>
      </c>
      <c r="N9" s="506">
        <f>8864+6740+7700</f>
        <v>23304</v>
      </c>
    </row>
    <row r="10" spans="1:15">
      <c r="A10" s="457"/>
      <c r="B10" s="463" t="s">
        <v>14</v>
      </c>
      <c r="C10" s="463">
        <v>237060</v>
      </c>
      <c r="D10" s="464">
        <v>17680</v>
      </c>
      <c r="E10" s="465">
        <f>2741.25+109.65</f>
        <v>2850.9</v>
      </c>
      <c r="F10" s="466">
        <f>-49.4</f>
        <v>-49.4</v>
      </c>
      <c r="G10" s="467"/>
      <c r="H10" s="468">
        <f t="shared" si="0"/>
        <v>14878.5</v>
      </c>
      <c r="I10" s="457"/>
      <c r="M10" s="510"/>
      <c r="N10" s="511"/>
    </row>
    <row r="11" spans="1:15">
      <c r="A11" s="457"/>
      <c r="B11" s="463" t="s">
        <v>15</v>
      </c>
      <c r="C11" s="463">
        <v>237054</v>
      </c>
      <c r="D11" s="464">
        <v>49140</v>
      </c>
      <c r="E11" s="465"/>
      <c r="F11" s="466">
        <v>15202.02</v>
      </c>
      <c r="G11" s="467">
        <f>583.61+830</f>
        <v>1413.6100000000001</v>
      </c>
      <c r="H11" s="468">
        <f t="shared" si="0"/>
        <v>32524.369999999995</v>
      </c>
      <c r="I11" s="457"/>
      <c r="M11" s="505" t="s">
        <v>687</v>
      </c>
      <c r="N11" s="506">
        <f>7500+3300</f>
        <v>10800</v>
      </c>
    </row>
    <row r="12" spans="1:15">
      <c r="A12" s="457"/>
      <c r="B12" s="463" t="s">
        <v>16</v>
      </c>
      <c r="C12" s="463">
        <v>237055</v>
      </c>
      <c r="D12" s="464">
        <v>33311</v>
      </c>
      <c r="E12" s="465"/>
      <c r="F12" s="466">
        <v>12387.43</v>
      </c>
      <c r="G12" s="466"/>
      <c r="H12" s="468">
        <f t="shared" si="0"/>
        <v>20923.57</v>
      </c>
      <c r="I12" s="457"/>
      <c r="M12" s="505" t="s">
        <v>688</v>
      </c>
      <c r="N12" s="506">
        <f>16479+900+6000</f>
        <v>23379</v>
      </c>
    </row>
    <row r="13" spans="1:15">
      <c r="A13" s="457"/>
      <c r="B13" s="463" t="s">
        <v>17</v>
      </c>
      <c r="C13" s="463">
        <v>237056</v>
      </c>
      <c r="D13" s="464">
        <v>561346</v>
      </c>
      <c r="E13" s="465"/>
      <c r="F13" s="466">
        <v>225113</v>
      </c>
      <c r="G13" s="467">
        <v>77901</v>
      </c>
      <c r="H13" s="468">
        <f t="shared" si="0"/>
        <v>258332</v>
      </c>
      <c r="I13" s="457"/>
      <c r="M13" s="499"/>
      <c r="N13" s="499"/>
    </row>
    <row r="14" spans="1:15">
      <c r="A14" s="457"/>
      <c r="B14" s="463" t="s">
        <v>18</v>
      </c>
      <c r="C14" s="463">
        <v>237044</v>
      </c>
      <c r="D14" s="464">
        <v>20800</v>
      </c>
      <c r="E14" s="465"/>
      <c r="F14" s="466"/>
      <c r="G14" s="467"/>
      <c r="H14" s="468">
        <f t="shared" si="0"/>
        <v>20800</v>
      </c>
      <c r="I14" s="457"/>
    </row>
    <row r="15" spans="1:15">
      <c r="A15" s="457"/>
      <c r="B15" s="463" t="s">
        <v>19</v>
      </c>
      <c r="C15" s="463">
        <v>237095</v>
      </c>
      <c r="D15" s="464">
        <v>20800</v>
      </c>
      <c r="E15" s="465"/>
      <c r="F15" s="466">
        <v>102.14</v>
      </c>
      <c r="G15" s="467"/>
      <c r="H15" s="468">
        <f t="shared" si="0"/>
        <v>20697.86</v>
      </c>
      <c r="I15" s="457"/>
    </row>
    <row r="16" spans="1:15">
      <c r="A16" s="457"/>
      <c r="B16" s="463" t="s">
        <v>20</v>
      </c>
      <c r="C16" s="463">
        <v>237046</v>
      </c>
      <c r="D16" s="464">
        <v>29822</v>
      </c>
      <c r="E16" s="465"/>
      <c r="F16" s="466">
        <v>1542.4</v>
      </c>
      <c r="G16" s="467"/>
      <c r="H16" s="468">
        <f t="shared" si="0"/>
        <v>28279.599999999999</v>
      </c>
      <c r="I16" s="457"/>
    </row>
    <row r="17" spans="1:13">
      <c r="A17" s="457"/>
      <c r="B17" s="463" t="s">
        <v>21</v>
      </c>
      <c r="C17" s="463">
        <v>237052</v>
      </c>
      <c r="D17" s="464">
        <v>26000</v>
      </c>
      <c r="E17" s="465"/>
      <c r="F17" s="466"/>
      <c r="G17" s="467"/>
      <c r="H17" s="468">
        <f t="shared" si="0"/>
        <v>26000</v>
      </c>
      <c r="I17" s="457"/>
    </row>
    <row r="18" spans="1:13">
      <c r="A18" s="457"/>
      <c r="B18" s="463" t="s">
        <v>22</v>
      </c>
      <c r="C18" s="463">
        <v>237053</v>
      </c>
      <c r="D18" s="464">
        <v>20800</v>
      </c>
      <c r="E18" s="465">
        <f>1500+60</f>
        <v>1560</v>
      </c>
      <c r="F18" s="466">
        <v>1050</v>
      </c>
      <c r="G18" s="467"/>
      <c r="H18" s="468">
        <f t="shared" si="0"/>
        <v>18190</v>
      </c>
      <c r="I18" s="457"/>
    </row>
    <row r="19" spans="1:13">
      <c r="A19" s="457"/>
      <c r="B19" s="463" t="s">
        <v>23</v>
      </c>
      <c r="C19" s="463">
        <v>237078</v>
      </c>
      <c r="D19" s="464">
        <v>23530</v>
      </c>
      <c r="E19" s="465"/>
      <c r="F19" s="466"/>
      <c r="G19" s="467"/>
      <c r="H19" s="468">
        <f t="shared" si="0"/>
        <v>23530</v>
      </c>
      <c r="I19" s="457"/>
    </row>
    <row r="20" spans="1:13">
      <c r="A20" s="457"/>
      <c r="B20" s="463" t="s">
        <v>25</v>
      </c>
      <c r="C20" s="463">
        <v>237096</v>
      </c>
      <c r="D20" s="464">
        <v>384110</v>
      </c>
      <c r="E20" s="465"/>
      <c r="F20" s="466">
        <v>170366.94</v>
      </c>
      <c r="G20" s="467"/>
      <c r="H20" s="468">
        <f t="shared" si="0"/>
        <v>213743.06</v>
      </c>
      <c r="I20" s="457"/>
    </row>
    <row r="21" spans="1:13" ht="15.95" thickBot="1">
      <c r="A21" s="457"/>
      <c r="B21" s="479" t="s">
        <v>26</v>
      </c>
      <c r="C21" s="480"/>
      <c r="D21" s="481">
        <f>SUM(D3:D20)</f>
        <v>1415933</v>
      </c>
      <c r="E21" s="481">
        <f>SUM(E3:E20)</f>
        <v>37577.99</v>
      </c>
      <c r="F21" s="481">
        <f>SUM(F3:F20)</f>
        <v>434290.47000000003</v>
      </c>
      <c r="G21" s="481">
        <f>SUM(G3:G20)</f>
        <v>91559.42</v>
      </c>
      <c r="H21" s="482">
        <f>D21-(E21+F21+G21)</f>
        <v>852505.12</v>
      </c>
      <c r="I21" s="457"/>
    </row>
    <row r="22" spans="1:13" ht="15.95" thickTop="1">
      <c r="A22" s="457"/>
      <c r="B22" s="483"/>
      <c r="C22" s="484"/>
      <c r="D22" s="485"/>
      <c r="E22" s="485"/>
      <c r="F22" s="485"/>
      <c r="G22" s="485"/>
      <c r="H22" s="486"/>
      <c r="I22" s="457"/>
    </row>
    <row r="23" spans="1:13">
      <c r="A23" s="457"/>
      <c r="B23" s="484"/>
      <c r="C23" s="484" t="s">
        <v>689</v>
      </c>
      <c r="D23" s="486"/>
      <c r="E23" s="486">
        <f>E21+F21</f>
        <v>471868.46</v>
      </c>
      <c r="F23" s="486"/>
      <c r="G23" s="484"/>
      <c r="H23" s="483"/>
      <c r="I23" s="457"/>
    </row>
    <row r="24" spans="1:13">
      <c r="A24" s="457"/>
      <c r="B24" s="484"/>
      <c r="C24" s="484" t="s">
        <v>690</v>
      </c>
      <c r="D24" s="486"/>
      <c r="E24" s="486">
        <f>D21-E23</f>
        <v>944064.54</v>
      </c>
      <c r="F24" s="486"/>
      <c r="G24" s="484"/>
      <c r="H24" s="483"/>
      <c r="I24" s="457"/>
    </row>
    <row r="25" spans="1:13">
      <c r="A25" s="457"/>
      <c r="B25" s="484"/>
      <c r="C25" s="484" t="s">
        <v>691</v>
      </c>
      <c r="D25" s="486"/>
      <c r="E25" s="486">
        <f>(N7+N8+N9)*5</f>
        <v>310250</v>
      </c>
      <c r="F25" s="486"/>
      <c r="G25" s="484"/>
      <c r="H25" s="483"/>
      <c r="I25" s="457"/>
    </row>
    <row r="26" spans="1:13">
      <c r="A26" s="457"/>
      <c r="B26" s="484"/>
      <c r="C26" s="484" t="s">
        <v>692</v>
      </c>
      <c r="D26" s="486"/>
      <c r="E26" s="486">
        <f>D21-E23-E25-G21</f>
        <v>542255.12</v>
      </c>
      <c r="F26" s="486"/>
      <c r="G26" s="484"/>
      <c r="H26" s="483"/>
      <c r="I26" s="457"/>
      <c r="M26" s="509"/>
    </row>
    <row r="27" spans="1:13">
      <c r="A27" s="457"/>
      <c r="B27" s="484"/>
      <c r="C27" s="484"/>
      <c r="D27" s="486"/>
      <c r="E27" s="486"/>
      <c r="F27" s="486"/>
      <c r="G27" s="484"/>
      <c r="H27" s="483"/>
      <c r="I27" s="457"/>
    </row>
    <row r="28" spans="1:13">
      <c r="A28" s="457"/>
      <c r="B28" s="457"/>
      <c r="C28" s="458" t="s">
        <v>693</v>
      </c>
      <c r="D28" s="457"/>
      <c r="E28" s="457"/>
      <c r="F28" s="457"/>
      <c r="G28" s="457" t="s">
        <v>666</v>
      </c>
      <c r="H28" s="457"/>
      <c r="I28" s="457"/>
    </row>
    <row r="29" spans="1:13">
      <c r="A29" s="457"/>
      <c r="B29" s="461" t="s">
        <v>2</v>
      </c>
      <c r="C29" s="461" t="s">
        <v>3</v>
      </c>
      <c r="D29" s="461" t="s">
        <v>678</v>
      </c>
      <c r="E29" s="461" t="s">
        <v>679</v>
      </c>
      <c r="F29" s="461" t="s">
        <v>680</v>
      </c>
      <c r="G29" s="462" t="s">
        <v>681</v>
      </c>
      <c r="H29" s="462" t="s">
        <v>643</v>
      </c>
      <c r="I29" s="457"/>
    </row>
    <row r="30" spans="1:13">
      <c r="A30" s="457"/>
      <c r="B30" s="490" t="s">
        <v>8</v>
      </c>
      <c r="C30" s="490">
        <v>237050</v>
      </c>
      <c r="D30" s="491">
        <v>20093</v>
      </c>
      <c r="E30" s="492"/>
      <c r="F30" s="493"/>
      <c r="G30" s="493"/>
      <c r="H30" s="468">
        <f>D30-E30-G30</f>
        <v>20093</v>
      </c>
      <c r="I30" s="457"/>
    </row>
    <row r="31" spans="1:13">
      <c r="A31" s="457"/>
      <c r="B31" s="463" t="s">
        <v>9</v>
      </c>
      <c r="C31" s="463">
        <v>237051</v>
      </c>
      <c r="D31" s="494">
        <v>20092</v>
      </c>
      <c r="E31" s="465"/>
      <c r="F31" s="467"/>
      <c r="G31" s="467"/>
      <c r="H31" s="468">
        <f>D31-E31-G31</f>
        <v>20092</v>
      </c>
      <c r="I31" s="457"/>
    </row>
    <row r="32" spans="1:13">
      <c r="A32" s="457"/>
      <c r="B32" s="463" t="s">
        <v>28</v>
      </c>
      <c r="C32" s="463">
        <v>237097</v>
      </c>
      <c r="D32" s="494">
        <v>281520</v>
      </c>
      <c r="E32" s="465"/>
      <c r="F32" s="467">
        <v>147319.6</v>
      </c>
      <c r="G32" s="467"/>
      <c r="H32" s="468">
        <f t="shared" ref="H32:H33" si="1">D32-E32-G32</f>
        <v>281520</v>
      </c>
      <c r="I32" s="457"/>
    </row>
    <row r="33" spans="1:11">
      <c r="A33" s="457"/>
      <c r="B33" s="463" t="s">
        <v>29</v>
      </c>
      <c r="C33" s="463">
        <v>237098</v>
      </c>
      <c r="D33" s="494">
        <v>448720</v>
      </c>
      <c r="E33" s="465"/>
      <c r="F33" s="467">
        <f>177903.69+19204.69</f>
        <v>197108.38</v>
      </c>
      <c r="G33" s="467"/>
      <c r="H33" s="468">
        <f t="shared" si="1"/>
        <v>448720</v>
      </c>
      <c r="I33" s="457"/>
    </row>
    <row r="34" spans="1:11" ht="15.95" thickBot="1">
      <c r="A34" s="457"/>
      <c r="B34" s="479" t="s">
        <v>26</v>
      </c>
      <c r="C34" s="480"/>
      <c r="D34" s="495">
        <f>SUM(D30:D33)</f>
        <v>770425</v>
      </c>
      <c r="E34" s="481">
        <f>SUM(E31:E33)</f>
        <v>0</v>
      </c>
      <c r="F34" s="481">
        <f>SUM(F31:F33)</f>
        <v>344427.98</v>
      </c>
      <c r="G34" s="481">
        <f>SUM(G31:G33)</f>
        <v>0</v>
      </c>
      <c r="H34" s="481">
        <f>D34-(E34+G34)</f>
        <v>770425</v>
      </c>
      <c r="I34" s="457"/>
    </row>
    <row r="35" spans="1:11" ht="15.95" thickTop="1">
      <c r="A35" s="457"/>
      <c r="B35" s="483"/>
      <c r="C35" s="484"/>
      <c r="D35" s="496"/>
      <c r="E35" s="485"/>
      <c r="F35" s="485"/>
      <c r="G35" s="485"/>
      <c r="H35" s="485"/>
      <c r="I35" s="457"/>
    </row>
    <row r="36" spans="1:11">
      <c r="A36" s="457"/>
      <c r="B36" s="484"/>
      <c r="C36" s="484" t="s">
        <v>689</v>
      </c>
      <c r="D36" s="486"/>
      <c r="E36" s="486">
        <f>F34</f>
        <v>344427.98</v>
      </c>
      <c r="F36" s="486"/>
      <c r="G36" s="484"/>
      <c r="H36" s="483"/>
      <c r="I36" s="457"/>
    </row>
    <row r="37" spans="1:11">
      <c r="A37" s="457"/>
      <c r="B37" s="484"/>
      <c r="C37" s="484" t="s">
        <v>690</v>
      </c>
      <c r="D37" s="486"/>
      <c r="E37" s="497">
        <f>D34-E36</f>
        <v>425997.02</v>
      </c>
      <c r="F37" s="486"/>
      <c r="G37" s="484"/>
      <c r="H37" s="483"/>
      <c r="I37" s="457"/>
    </row>
    <row r="38" spans="1:11">
      <c r="A38" s="457"/>
      <c r="B38" s="484"/>
      <c r="C38" s="484" t="s">
        <v>691</v>
      </c>
      <c r="D38" s="486"/>
      <c r="E38" s="486">
        <f>(N11+N12)*5</f>
        <v>170895</v>
      </c>
      <c r="F38" s="486"/>
      <c r="G38" s="484"/>
      <c r="H38" s="483"/>
      <c r="I38" s="457"/>
    </row>
    <row r="39" spans="1:11">
      <c r="A39" s="457"/>
      <c r="B39" s="484"/>
      <c r="C39" s="484" t="s">
        <v>692</v>
      </c>
      <c r="D39" s="486"/>
      <c r="E39" s="497">
        <f>D34-E36-E38-G34</f>
        <v>255102.02000000002</v>
      </c>
      <c r="F39" s="486"/>
      <c r="G39" s="484"/>
      <c r="H39" s="483"/>
      <c r="I39" s="457"/>
    </row>
    <row r="40" spans="1:11">
      <c r="A40" s="457"/>
      <c r="B40" s="484"/>
      <c r="C40" s="484"/>
      <c r="D40" s="486"/>
      <c r="E40" s="486"/>
      <c r="F40" s="486"/>
      <c r="G40" s="484"/>
      <c r="H40" s="483"/>
      <c r="I40" s="457"/>
    </row>
    <row r="41" spans="1:11">
      <c r="A41" s="457"/>
      <c r="B41" s="457"/>
      <c r="C41" s="457"/>
      <c r="D41" s="457"/>
      <c r="E41" s="457"/>
      <c r="F41" s="457"/>
      <c r="G41" s="457"/>
      <c r="H41" s="457"/>
      <c r="I41" s="457"/>
    </row>
    <row r="42" spans="1:11">
      <c r="B42" s="499"/>
      <c r="C42" s="499"/>
      <c r="D42" s="498"/>
      <c r="E42" s="498"/>
      <c r="F42" s="498"/>
      <c r="G42" s="499"/>
      <c r="H42" s="500"/>
      <c r="I42" s="500"/>
      <c r="J42" s="500"/>
      <c r="K42" s="500"/>
    </row>
    <row r="43" spans="1:11">
      <c r="B43" s="499"/>
      <c r="C43" s="499"/>
      <c r="D43" s="498"/>
      <c r="E43" s="498"/>
      <c r="F43" s="498"/>
      <c r="G43" s="499"/>
      <c r="H43" s="500"/>
      <c r="I43" s="500"/>
      <c r="J43" s="500"/>
      <c r="K43" s="500"/>
    </row>
    <row r="44" spans="1:11">
      <c r="H44" s="502"/>
    </row>
  </sheetData>
  <pageMargins left="0.7" right="0.7" top="0.75" bottom="0.75" header="0.3" footer="0.3"/>
  <pageSetup scale="48"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7FFD-8C38-4946-A4C9-AD1CFF49C792}">
  <sheetPr>
    <pageSetUpPr fitToPage="1"/>
  </sheetPr>
  <dimension ref="A1:M47"/>
  <sheetViews>
    <sheetView zoomScale="115" zoomScaleNormal="115" workbookViewId="0">
      <selection activeCell="E26" sqref="E26"/>
    </sheetView>
  </sheetViews>
  <sheetFormatPr defaultColWidth="8.875" defaultRowHeight="15"/>
  <cols>
    <col min="1" max="1" width="2.5" style="417" customWidth="1"/>
    <col min="2" max="2" width="14.5" style="417" customWidth="1"/>
    <col min="3" max="3" width="12.875" style="417" customWidth="1"/>
    <col min="4" max="4" width="16.625" style="417" bestFit="1" customWidth="1"/>
    <col min="5" max="5" width="16" style="417" customWidth="1"/>
    <col min="6" max="6" width="18.625" style="417" customWidth="1"/>
    <col min="7" max="7" width="14.125" style="417" bestFit="1" customWidth="1"/>
    <col min="8" max="8" width="2" style="417" customWidth="1"/>
    <col min="9" max="9" width="2.5" style="417" customWidth="1"/>
    <col min="10" max="11" width="8.875" style="417"/>
    <col min="12" max="12" width="10.375" style="417" customWidth="1"/>
    <col min="13" max="13" width="10.5" style="417" customWidth="1"/>
    <col min="14" max="16384" width="8.875" style="417"/>
  </cols>
  <sheetData>
    <row r="1" spans="1:13">
      <c r="A1" s="457"/>
      <c r="B1" s="457"/>
      <c r="C1" s="458" t="s">
        <v>694</v>
      </c>
      <c r="D1" s="457"/>
      <c r="E1" s="457"/>
      <c r="F1" s="459" t="s">
        <v>695</v>
      </c>
      <c r="G1" s="460">
        <v>45107</v>
      </c>
      <c r="H1" s="457"/>
    </row>
    <row r="2" spans="1:13">
      <c r="A2" s="457"/>
      <c r="B2" s="461" t="s">
        <v>2</v>
      </c>
      <c r="C2" s="461" t="s">
        <v>3</v>
      </c>
      <c r="D2" s="461" t="s">
        <v>678</v>
      </c>
      <c r="E2" s="461" t="s">
        <v>641</v>
      </c>
      <c r="F2" s="462" t="s">
        <v>681</v>
      </c>
      <c r="G2" s="462" t="s">
        <v>643</v>
      </c>
      <c r="H2" s="457"/>
    </row>
    <row r="3" spans="1:13">
      <c r="A3" s="457"/>
      <c r="B3" s="469" t="s">
        <v>7</v>
      </c>
      <c r="C3" s="469">
        <v>237049</v>
      </c>
      <c r="D3" s="470">
        <v>27000</v>
      </c>
      <c r="E3" s="471"/>
      <c r="F3" s="469"/>
      <c r="G3" s="472">
        <f t="shared" ref="G3:G5" si="0">D3-E3-F3</f>
        <v>27000</v>
      </c>
      <c r="H3" s="457"/>
    </row>
    <row r="4" spans="1:13">
      <c r="A4" s="457"/>
      <c r="B4" s="469" t="s">
        <v>8</v>
      </c>
      <c r="C4" s="469">
        <v>237050</v>
      </c>
      <c r="D4" s="470">
        <v>46500</v>
      </c>
      <c r="E4" s="471"/>
      <c r="F4" s="473">
        <f>2419+860</f>
        <v>3279</v>
      </c>
      <c r="G4" s="472">
        <f t="shared" si="0"/>
        <v>43221</v>
      </c>
      <c r="H4" s="457"/>
      <c r="L4" s="417" t="s">
        <v>696</v>
      </c>
    </row>
    <row r="5" spans="1:13">
      <c r="A5" s="457"/>
      <c r="B5" s="469" t="s">
        <v>9</v>
      </c>
      <c r="C5" s="469">
        <v>237051</v>
      </c>
      <c r="D5" s="470">
        <v>46500</v>
      </c>
      <c r="E5" s="474"/>
      <c r="F5" s="475"/>
      <c r="G5" s="472">
        <f t="shared" si="0"/>
        <v>46500</v>
      </c>
      <c r="H5" s="457"/>
      <c r="L5" s="507" t="s">
        <v>15</v>
      </c>
      <c r="M5" s="512">
        <v>1500</v>
      </c>
    </row>
    <row r="6" spans="1:13">
      <c r="A6" s="457"/>
      <c r="B6" s="469" t="s">
        <v>10</v>
      </c>
      <c r="C6" s="469">
        <v>237071</v>
      </c>
      <c r="D6" s="470">
        <v>39250</v>
      </c>
      <c r="E6" s="474"/>
      <c r="F6" s="475"/>
      <c r="G6" s="472">
        <f>D6-E6-F6</f>
        <v>39250</v>
      </c>
      <c r="H6" s="457"/>
      <c r="L6" s="507" t="s">
        <v>16</v>
      </c>
      <c r="M6" s="512">
        <v>2000</v>
      </c>
    </row>
    <row r="7" spans="1:13">
      <c r="A7" s="457"/>
      <c r="B7" s="469" t="s">
        <v>697</v>
      </c>
      <c r="C7" s="476">
        <v>233002</v>
      </c>
      <c r="D7" s="470">
        <v>19600</v>
      </c>
      <c r="E7" s="474"/>
      <c r="F7" s="475"/>
      <c r="G7" s="472">
        <f>D7-E7-F7</f>
        <v>19600</v>
      </c>
      <c r="H7" s="457"/>
      <c r="L7" s="507" t="s">
        <v>698</v>
      </c>
      <c r="M7" s="512">
        <f>3641.58+1334.76</f>
        <v>4976.34</v>
      </c>
    </row>
    <row r="8" spans="1:13">
      <c r="A8" s="457"/>
      <c r="B8" s="469" t="s">
        <v>699</v>
      </c>
      <c r="C8" s="469">
        <v>237044</v>
      </c>
      <c r="D8" s="470">
        <v>25233</v>
      </c>
      <c r="E8" s="477"/>
      <c r="F8" s="478"/>
      <c r="G8" s="472">
        <f t="shared" ref="G8:G21" si="1">D8-E8-F8</f>
        <v>25233</v>
      </c>
      <c r="H8" s="457"/>
      <c r="L8" s="417" t="s">
        <v>538</v>
      </c>
      <c r="M8" s="513">
        <v>1000</v>
      </c>
    </row>
    <row r="9" spans="1:13">
      <c r="A9" s="457"/>
      <c r="B9" s="469" t="s">
        <v>15</v>
      </c>
      <c r="C9" s="469">
        <v>237054</v>
      </c>
      <c r="D9" s="470">
        <v>39000</v>
      </c>
      <c r="E9" s="471">
        <v>8097</v>
      </c>
      <c r="F9" s="473">
        <v>58500</v>
      </c>
      <c r="G9" s="472">
        <f t="shared" si="1"/>
        <v>-27597</v>
      </c>
      <c r="H9" s="457"/>
      <c r="L9" s="509" t="s">
        <v>700</v>
      </c>
      <c r="M9" s="513">
        <v>600</v>
      </c>
    </row>
    <row r="10" spans="1:13">
      <c r="A10" s="457"/>
      <c r="B10" s="469" t="s">
        <v>16</v>
      </c>
      <c r="C10" s="469">
        <v>237055</v>
      </c>
      <c r="D10" s="470">
        <v>39000</v>
      </c>
      <c r="E10" s="474">
        <v>11794</v>
      </c>
      <c r="F10" s="475">
        <v>3637</v>
      </c>
      <c r="G10" s="472">
        <f t="shared" si="1"/>
        <v>23569</v>
      </c>
      <c r="H10" s="457"/>
    </row>
    <row r="11" spans="1:13">
      <c r="A11" s="457"/>
      <c r="B11" s="469" t="s">
        <v>17</v>
      </c>
      <c r="C11" s="469">
        <v>237056</v>
      </c>
      <c r="D11" s="470">
        <v>39000</v>
      </c>
      <c r="E11" s="474"/>
      <c r="F11" s="475"/>
      <c r="G11" s="472">
        <f t="shared" si="1"/>
        <v>39000</v>
      </c>
      <c r="H11" s="457"/>
    </row>
    <row r="12" spans="1:13">
      <c r="A12" s="457"/>
      <c r="B12" s="469" t="s">
        <v>20</v>
      </c>
      <c r="C12" s="469">
        <v>237046</v>
      </c>
      <c r="D12" s="470">
        <v>26233</v>
      </c>
      <c r="E12" s="471">
        <v>3188.83</v>
      </c>
      <c r="F12" s="473"/>
      <c r="G12" s="472">
        <f t="shared" si="1"/>
        <v>23044.17</v>
      </c>
      <c r="H12" s="457"/>
    </row>
    <row r="13" spans="1:13">
      <c r="A13" s="457"/>
      <c r="B13" s="469" t="s">
        <v>21</v>
      </c>
      <c r="C13" s="469">
        <v>237052</v>
      </c>
      <c r="D13" s="470">
        <v>26233</v>
      </c>
      <c r="E13" s="474">
        <v>27024.29</v>
      </c>
      <c r="F13" s="475"/>
      <c r="G13" s="472">
        <f t="shared" si="1"/>
        <v>-791.29000000000087</v>
      </c>
      <c r="H13" s="457"/>
    </row>
    <row r="14" spans="1:13">
      <c r="A14" s="457"/>
      <c r="B14" s="469" t="s">
        <v>22</v>
      </c>
      <c r="C14" s="469">
        <v>237053</v>
      </c>
      <c r="D14" s="470">
        <v>26233</v>
      </c>
      <c r="E14" s="474">
        <v>18711.29</v>
      </c>
      <c r="F14" s="475"/>
      <c r="G14" s="472">
        <f t="shared" si="1"/>
        <v>7521.7099999999991</v>
      </c>
      <c r="H14" s="457"/>
    </row>
    <row r="15" spans="1:13">
      <c r="A15" s="457"/>
      <c r="B15" s="469" t="s">
        <v>23</v>
      </c>
      <c r="C15" s="469">
        <v>237078</v>
      </c>
      <c r="D15" s="470">
        <v>26233</v>
      </c>
      <c r="E15" s="474"/>
      <c r="F15" s="475"/>
      <c r="G15" s="472">
        <f t="shared" si="1"/>
        <v>26233</v>
      </c>
      <c r="H15" s="457"/>
    </row>
    <row r="16" spans="1:13">
      <c r="A16" s="457"/>
      <c r="B16" s="469" t="s">
        <v>701</v>
      </c>
      <c r="C16" s="469">
        <v>237058</v>
      </c>
      <c r="D16" s="470">
        <v>16600</v>
      </c>
      <c r="E16" s="471">
        <v>4150.34</v>
      </c>
      <c r="F16" s="473">
        <v>1020.32</v>
      </c>
      <c r="G16" s="472">
        <f t="shared" si="1"/>
        <v>11429.34</v>
      </c>
      <c r="H16" s="457"/>
    </row>
    <row r="17" spans="1:8">
      <c r="A17" s="457"/>
      <c r="B17" s="469" t="s">
        <v>702</v>
      </c>
      <c r="C17" s="469">
        <v>237059</v>
      </c>
      <c r="D17" s="470">
        <v>19400</v>
      </c>
      <c r="E17" s="474"/>
      <c r="F17" s="475"/>
      <c r="G17" s="472">
        <f t="shared" si="1"/>
        <v>19400</v>
      </c>
      <c r="H17" s="457"/>
    </row>
    <row r="18" spans="1:8">
      <c r="A18" s="457"/>
      <c r="B18" s="469" t="s">
        <v>14</v>
      </c>
      <c r="C18" s="469">
        <v>237060</v>
      </c>
      <c r="D18" s="470">
        <v>19400</v>
      </c>
      <c r="E18" s="474"/>
      <c r="F18" s="475"/>
      <c r="G18" s="472">
        <f t="shared" si="1"/>
        <v>19400</v>
      </c>
      <c r="H18" s="457"/>
    </row>
    <row r="19" spans="1:8">
      <c r="A19" s="457"/>
      <c r="B19" s="469" t="s">
        <v>538</v>
      </c>
      <c r="C19" s="469">
        <v>237045</v>
      </c>
      <c r="D19" s="470">
        <v>20000</v>
      </c>
      <c r="E19" s="471">
        <v>3373</v>
      </c>
      <c r="F19" s="469"/>
      <c r="G19" s="472">
        <f t="shared" si="1"/>
        <v>16627</v>
      </c>
      <c r="H19" s="457"/>
    </row>
    <row r="20" spans="1:8">
      <c r="A20" s="457"/>
      <c r="B20" s="469" t="s">
        <v>698</v>
      </c>
      <c r="C20" s="469">
        <v>237062</v>
      </c>
      <c r="D20" s="470">
        <v>158379</v>
      </c>
      <c r="E20" s="471">
        <v>20743</v>
      </c>
      <c r="F20" s="472"/>
      <c r="G20" s="472">
        <f t="shared" si="1"/>
        <v>137636</v>
      </c>
      <c r="H20" s="457"/>
    </row>
    <row r="21" spans="1:8">
      <c r="A21" s="457"/>
      <c r="B21" s="469" t="s">
        <v>703</v>
      </c>
      <c r="C21" s="469">
        <v>237063</v>
      </c>
      <c r="D21" s="470">
        <v>8990</v>
      </c>
      <c r="E21" s="471"/>
      <c r="F21" s="469"/>
      <c r="G21" s="472">
        <f t="shared" si="1"/>
        <v>8990</v>
      </c>
      <c r="H21" s="457"/>
    </row>
    <row r="22" spans="1:8" ht="15.95" thickBot="1">
      <c r="A22" s="457"/>
      <c r="B22" s="487" t="s">
        <v>26</v>
      </c>
      <c r="C22" s="487"/>
      <c r="D22" s="488">
        <f>SUM(D3:D21)</f>
        <v>668784</v>
      </c>
      <c r="E22" s="489">
        <f>SUM(E3:E21)</f>
        <v>97081.75</v>
      </c>
      <c r="F22" s="488">
        <f>SUM(F3:F21)</f>
        <v>66436.320000000007</v>
      </c>
      <c r="G22" s="488">
        <f>D22-(E22+F22)</f>
        <v>505265.93</v>
      </c>
      <c r="H22" s="457"/>
    </row>
    <row r="23" spans="1:8" ht="15.95" thickTop="1">
      <c r="A23" s="457"/>
      <c r="B23" s="457"/>
      <c r="C23" s="457"/>
      <c r="D23" s="457"/>
      <c r="E23" s="457"/>
      <c r="F23" s="459"/>
      <c r="G23" s="460"/>
      <c r="H23" s="457"/>
    </row>
    <row r="24" spans="1:8">
      <c r="A24" s="457"/>
      <c r="B24" s="457"/>
      <c r="C24" s="457"/>
      <c r="D24" s="457"/>
      <c r="E24" s="457"/>
      <c r="F24" s="459"/>
      <c r="G24" s="460"/>
      <c r="H24" s="457"/>
    </row>
    <row r="25" spans="1:8">
      <c r="A25" s="457"/>
      <c r="B25" s="483"/>
      <c r="C25" s="484"/>
      <c r="D25" s="484"/>
      <c r="E25" s="484"/>
      <c r="F25" s="485"/>
      <c r="G25" s="483"/>
      <c r="H25" s="457"/>
    </row>
    <row r="26" spans="1:8">
      <c r="A26" s="457"/>
      <c r="B26" s="483"/>
      <c r="C26" s="484" t="s">
        <v>689</v>
      </c>
      <c r="D26" s="484"/>
      <c r="E26" s="486">
        <f>E22</f>
        <v>97081.75</v>
      </c>
      <c r="F26" s="485"/>
      <c r="G26" s="483"/>
      <c r="H26" s="457"/>
    </row>
    <row r="27" spans="1:8">
      <c r="A27" s="457"/>
      <c r="B27" s="483"/>
      <c r="C27" s="484" t="s">
        <v>690</v>
      </c>
      <c r="D27" s="484"/>
      <c r="E27" s="486">
        <f>D22-E26</f>
        <v>571702.25</v>
      </c>
      <c r="F27" s="485"/>
      <c r="G27" s="483"/>
      <c r="H27" s="457"/>
    </row>
    <row r="28" spans="1:8">
      <c r="A28" s="457"/>
      <c r="B28" s="483"/>
      <c r="C28" s="484" t="s">
        <v>691</v>
      </c>
      <c r="D28" s="484"/>
      <c r="E28" s="486">
        <f>(M5+M6+M7+M8)*6</f>
        <v>56858.04</v>
      </c>
      <c r="F28" s="485"/>
      <c r="G28" s="483"/>
      <c r="H28" s="457"/>
    </row>
    <row r="29" spans="1:8">
      <c r="A29" s="457"/>
      <c r="B29" s="483"/>
      <c r="C29" s="484" t="s">
        <v>692</v>
      </c>
      <c r="D29" s="484"/>
      <c r="E29" s="486">
        <f>D22-E26-E28-F22</f>
        <v>448407.89</v>
      </c>
      <c r="F29" s="485"/>
      <c r="G29" s="483"/>
      <c r="H29" s="457"/>
    </row>
    <row r="30" spans="1:8">
      <c r="A30" s="457"/>
      <c r="B30" s="483"/>
      <c r="C30" s="484"/>
      <c r="D30" s="484"/>
      <c r="E30" s="484"/>
      <c r="F30" s="485"/>
      <c r="G30" s="483"/>
      <c r="H30" s="457"/>
    </row>
    <row r="31" spans="1:8">
      <c r="A31" s="457"/>
      <c r="B31" s="483"/>
      <c r="C31" s="484"/>
      <c r="D31" s="484"/>
      <c r="E31" s="484"/>
      <c r="F31" s="485"/>
      <c r="G31" s="483"/>
      <c r="H31" s="457"/>
    </row>
    <row r="32" spans="1:8">
      <c r="A32" s="457"/>
      <c r="B32" s="483"/>
      <c r="C32" s="484"/>
      <c r="D32" s="484"/>
      <c r="E32" s="484"/>
      <c r="F32" s="483"/>
      <c r="G32" s="483"/>
      <c r="H32" s="457"/>
    </row>
    <row r="33" spans="1:8">
      <c r="A33" s="457"/>
      <c r="B33" s="457"/>
      <c r="C33" s="457"/>
      <c r="D33" s="457"/>
      <c r="E33" s="457"/>
      <c r="F33" s="457"/>
      <c r="G33" s="457"/>
      <c r="H33" s="457"/>
    </row>
    <row r="36" spans="1:8">
      <c r="G36" s="508"/>
    </row>
    <row r="37" spans="1:8">
      <c r="G37" s="508"/>
    </row>
    <row r="38" spans="1:8">
      <c r="G38" s="508"/>
    </row>
    <row r="46" spans="1:8">
      <c r="C46" s="509"/>
    </row>
    <row r="47" spans="1:8">
      <c r="C47" s="509"/>
    </row>
  </sheetData>
  <pageMargins left="0.7" right="0.7" top="0.75" bottom="0.75" header="0.3" footer="0.3"/>
  <pageSetup scale="48"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D1EF-5BC6-3F48-B33A-E46667D2571E}">
  <dimension ref="A1:GG43"/>
  <sheetViews>
    <sheetView zoomScaleNormal="100" workbookViewId="0">
      <selection activeCell="L68" sqref="L68"/>
    </sheetView>
  </sheetViews>
  <sheetFormatPr defaultColWidth="11.5" defaultRowHeight="12.95"/>
  <cols>
    <col min="1" max="1" width="10.875" style="527" customWidth="1"/>
    <col min="2" max="2" width="29.375" style="527" customWidth="1"/>
    <col min="3" max="3" width="1.625" style="613" customWidth="1"/>
    <col min="4" max="4" width="14.375" style="527" customWidth="1"/>
    <col min="5" max="5" width="14" style="527" customWidth="1"/>
    <col min="6" max="7" width="13.875" style="527" customWidth="1"/>
    <col min="8" max="8" width="15" style="527" customWidth="1"/>
    <col min="9" max="9" width="15.375" style="527" customWidth="1"/>
    <col min="10" max="10" width="13.875" style="527" customWidth="1"/>
    <col min="11" max="11" width="15.5" style="527" customWidth="1"/>
    <col min="12" max="16384" width="11.5" style="527"/>
  </cols>
  <sheetData>
    <row r="1" spans="1:189" s="528" customFormat="1" ht="20.100000000000001" customHeight="1">
      <c r="A1" s="521"/>
      <c r="B1" s="522" t="s">
        <v>704</v>
      </c>
      <c r="C1" s="523"/>
      <c r="D1" s="524" t="s">
        <v>8</v>
      </c>
      <c r="E1" s="524" t="s">
        <v>10</v>
      </c>
      <c r="F1" s="524" t="s">
        <v>9</v>
      </c>
      <c r="G1" s="524" t="s">
        <v>17</v>
      </c>
      <c r="H1" s="524" t="s">
        <v>28</v>
      </c>
      <c r="I1" s="524" t="s">
        <v>29</v>
      </c>
      <c r="J1" s="525"/>
      <c r="K1" s="526"/>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527"/>
      <c r="DK1" s="527"/>
      <c r="DL1" s="527"/>
      <c r="DM1" s="527"/>
      <c r="DN1" s="527"/>
      <c r="DO1" s="527"/>
      <c r="DP1" s="527"/>
      <c r="DQ1" s="527"/>
      <c r="DR1" s="527"/>
      <c r="DS1" s="527"/>
      <c r="DT1" s="527"/>
      <c r="DU1" s="527"/>
      <c r="DV1" s="527"/>
      <c r="DW1" s="527"/>
      <c r="DX1" s="527"/>
      <c r="DY1" s="527"/>
      <c r="DZ1" s="527"/>
      <c r="EA1" s="527"/>
      <c r="EB1" s="527"/>
      <c r="EC1" s="527"/>
      <c r="ED1" s="527"/>
      <c r="EE1" s="527"/>
      <c r="EF1" s="527"/>
      <c r="EG1" s="527"/>
      <c r="EH1" s="527"/>
      <c r="EI1" s="527"/>
      <c r="EJ1" s="527"/>
      <c r="EK1" s="527"/>
      <c r="EL1" s="527"/>
      <c r="EM1" s="527"/>
      <c r="EN1" s="527"/>
      <c r="EO1" s="527"/>
      <c r="EP1" s="527"/>
      <c r="EQ1" s="527"/>
      <c r="ER1" s="527"/>
      <c r="ES1" s="527"/>
      <c r="ET1" s="527"/>
      <c r="EU1" s="527"/>
      <c r="EV1" s="527"/>
      <c r="EW1" s="527"/>
      <c r="EX1" s="527"/>
      <c r="EY1" s="527"/>
      <c r="EZ1" s="527"/>
      <c r="FA1" s="527"/>
      <c r="FB1" s="527"/>
      <c r="FC1" s="527"/>
      <c r="FD1" s="527"/>
      <c r="FE1" s="527"/>
      <c r="FF1" s="527"/>
      <c r="FG1" s="527"/>
      <c r="FH1" s="527"/>
      <c r="FI1" s="527"/>
      <c r="FJ1" s="527"/>
      <c r="FK1" s="527"/>
      <c r="FL1" s="527"/>
      <c r="FM1" s="527"/>
      <c r="FN1" s="527"/>
      <c r="FO1" s="527"/>
      <c r="FP1" s="527"/>
      <c r="FQ1" s="527"/>
      <c r="FR1" s="527"/>
      <c r="FS1" s="527"/>
      <c r="FT1" s="527"/>
      <c r="FU1" s="527"/>
      <c r="FV1" s="527"/>
      <c r="FW1" s="527"/>
      <c r="FX1" s="527"/>
      <c r="FY1" s="527"/>
      <c r="FZ1" s="527"/>
      <c r="GA1" s="527"/>
      <c r="GB1" s="527"/>
      <c r="GC1" s="527"/>
      <c r="GD1" s="527"/>
      <c r="GE1" s="527"/>
      <c r="GF1" s="527"/>
      <c r="GG1" s="527"/>
    </row>
    <row r="2" spans="1:189" s="528" customFormat="1" ht="20.100000000000001" customHeight="1">
      <c r="A2" s="529"/>
      <c r="B2" s="530" t="s">
        <v>705</v>
      </c>
      <c r="C2" s="531"/>
      <c r="D2" s="532"/>
      <c r="E2" s="532"/>
      <c r="F2" s="532"/>
      <c r="G2" s="532"/>
      <c r="H2" s="532"/>
      <c r="I2" s="532"/>
      <c r="J2" s="533"/>
      <c r="K2" s="534"/>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527"/>
      <c r="DC2" s="527"/>
      <c r="DD2" s="527"/>
      <c r="DE2" s="527"/>
      <c r="DF2" s="527"/>
      <c r="DG2" s="527"/>
      <c r="DH2" s="527"/>
      <c r="DI2" s="527"/>
      <c r="DJ2" s="527"/>
      <c r="DK2" s="527"/>
      <c r="DL2" s="527"/>
      <c r="DM2" s="527"/>
      <c r="DN2" s="527"/>
      <c r="DO2" s="527"/>
      <c r="DP2" s="527"/>
      <c r="DQ2" s="527"/>
      <c r="DR2" s="527"/>
      <c r="DS2" s="527"/>
      <c r="DT2" s="527"/>
      <c r="DU2" s="527"/>
      <c r="DV2" s="527"/>
      <c r="DW2" s="527"/>
      <c r="DX2" s="527"/>
      <c r="DY2" s="527"/>
      <c r="DZ2" s="527"/>
      <c r="EA2" s="527"/>
      <c r="EB2" s="527"/>
      <c r="EC2" s="527"/>
      <c r="ED2" s="527"/>
      <c r="EE2" s="527"/>
      <c r="EF2" s="527"/>
      <c r="EG2" s="527"/>
      <c r="EH2" s="527"/>
      <c r="EI2" s="527"/>
      <c r="EJ2" s="527"/>
      <c r="EK2" s="527"/>
      <c r="EL2" s="527"/>
      <c r="EM2" s="527"/>
      <c r="EN2" s="527"/>
      <c r="EO2" s="527"/>
      <c r="EP2" s="527"/>
      <c r="EQ2" s="527"/>
      <c r="ER2" s="527"/>
      <c r="ES2" s="527"/>
      <c r="ET2" s="527"/>
      <c r="EU2" s="527"/>
      <c r="EV2" s="527"/>
      <c r="EW2" s="527"/>
      <c r="EX2" s="527"/>
      <c r="EY2" s="527"/>
      <c r="EZ2" s="527"/>
      <c r="FA2" s="527"/>
      <c r="FB2" s="527"/>
      <c r="FC2" s="527"/>
      <c r="FD2" s="527"/>
      <c r="FE2" s="527"/>
      <c r="FF2" s="527"/>
      <c r="FG2" s="527"/>
      <c r="FH2" s="527"/>
      <c r="FI2" s="527"/>
      <c r="FJ2" s="527"/>
      <c r="FK2" s="527"/>
      <c r="FL2" s="527"/>
      <c r="FM2" s="527"/>
      <c r="FN2" s="527"/>
      <c r="FO2" s="527"/>
      <c r="FP2" s="527"/>
      <c r="FQ2" s="527"/>
      <c r="FR2" s="527"/>
      <c r="FS2" s="527"/>
      <c r="FT2" s="527"/>
      <c r="FU2" s="527"/>
      <c r="FV2" s="527"/>
      <c r="FW2" s="527"/>
      <c r="FX2" s="527"/>
      <c r="FY2" s="527"/>
      <c r="FZ2" s="527"/>
      <c r="GA2" s="527"/>
      <c r="GB2" s="527"/>
      <c r="GC2" s="527"/>
      <c r="GD2" s="527"/>
      <c r="GE2" s="527"/>
      <c r="GF2" s="527"/>
      <c r="GG2" s="527"/>
    </row>
    <row r="3" spans="1:189" s="528" customFormat="1" ht="20.100000000000001" customHeight="1">
      <c r="A3" s="529"/>
      <c r="B3" s="535" t="s">
        <v>637</v>
      </c>
      <c r="C3" s="531"/>
      <c r="D3" s="536"/>
      <c r="E3" s="536"/>
      <c r="F3" s="536"/>
      <c r="G3" s="536"/>
      <c r="H3" s="536"/>
      <c r="I3" s="536"/>
      <c r="J3" s="537" t="s">
        <v>706</v>
      </c>
      <c r="K3" s="534"/>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527"/>
      <c r="FV3" s="527"/>
      <c r="FW3" s="527"/>
      <c r="FX3" s="527"/>
      <c r="FY3" s="527"/>
      <c r="FZ3" s="527"/>
      <c r="GA3" s="527"/>
      <c r="GB3" s="527"/>
      <c r="GC3" s="527"/>
      <c r="GD3" s="527"/>
      <c r="GE3" s="527"/>
      <c r="GF3" s="527"/>
      <c r="GG3" s="527"/>
    </row>
    <row r="4" spans="1:189" s="528" customFormat="1" ht="20.100000000000001" customHeight="1">
      <c r="A4" s="529"/>
      <c r="B4" s="535" t="s">
        <v>707</v>
      </c>
      <c r="C4" s="531"/>
      <c r="D4" s="536">
        <v>237050</v>
      </c>
      <c r="E4" s="536">
        <v>237071</v>
      </c>
      <c r="F4" s="536">
        <v>237051</v>
      </c>
      <c r="G4" s="536">
        <v>237056</v>
      </c>
      <c r="H4" s="536">
        <v>237097</v>
      </c>
      <c r="I4" s="536">
        <v>237098</v>
      </c>
      <c r="J4" s="537" t="s">
        <v>708</v>
      </c>
      <c r="K4" s="534"/>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27"/>
      <c r="FQ4" s="527"/>
      <c r="FR4" s="527"/>
      <c r="FS4" s="527"/>
      <c r="FT4" s="527"/>
      <c r="FU4" s="527"/>
      <c r="FV4" s="527"/>
      <c r="FW4" s="527"/>
      <c r="FX4" s="527"/>
      <c r="FY4" s="527"/>
      <c r="FZ4" s="527"/>
      <c r="GA4" s="527"/>
      <c r="GB4" s="527"/>
      <c r="GC4" s="527"/>
      <c r="GD4" s="527"/>
      <c r="GE4" s="527"/>
      <c r="GF4" s="527"/>
      <c r="GG4" s="527"/>
    </row>
    <row r="5" spans="1:189" s="528" customFormat="1" ht="20.100000000000001" customHeight="1">
      <c r="A5" s="529"/>
      <c r="B5" s="535" t="s">
        <v>709</v>
      </c>
      <c r="C5" s="531"/>
      <c r="D5" s="538" t="s">
        <v>710</v>
      </c>
      <c r="E5" s="538" t="s">
        <v>711</v>
      </c>
      <c r="F5" s="538" t="s">
        <v>712</v>
      </c>
      <c r="G5" s="538" t="s">
        <v>713</v>
      </c>
      <c r="H5" s="538" t="s">
        <v>714</v>
      </c>
      <c r="I5" s="538" t="s">
        <v>714</v>
      </c>
      <c r="J5" s="537" t="s">
        <v>715</v>
      </c>
      <c r="K5" s="534"/>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7"/>
      <c r="EZ5" s="527"/>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row>
    <row r="6" spans="1:189" ht="20.100000000000001" customHeight="1">
      <c r="A6" s="539" t="s">
        <v>716</v>
      </c>
      <c r="B6" s="540" t="s">
        <v>717</v>
      </c>
      <c r="C6" s="531"/>
      <c r="D6" s="541"/>
      <c r="E6" s="541"/>
      <c r="F6" s="541"/>
      <c r="G6" s="541"/>
      <c r="H6" s="541"/>
      <c r="I6" s="541"/>
      <c r="J6" s="542"/>
      <c r="K6" s="534"/>
    </row>
    <row r="7" spans="1:189" s="549" customFormat="1" ht="6.95" customHeight="1">
      <c r="A7" s="543"/>
      <c r="B7" s="544"/>
      <c r="C7" s="545"/>
      <c r="D7" s="546"/>
      <c r="E7" s="546"/>
      <c r="F7" s="546"/>
      <c r="G7" s="546"/>
      <c r="H7" s="546"/>
      <c r="I7" s="546"/>
      <c r="J7" s="547"/>
      <c r="K7" s="548"/>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527"/>
      <c r="BZ7" s="527"/>
      <c r="CA7" s="527"/>
      <c r="CB7" s="527"/>
      <c r="CC7" s="527"/>
      <c r="CD7" s="527"/>
      <c r="CE7" s="527"/>
      <c r="CF7" s="527"/>
      <c r="CG7" s="527"/>
      <c r="CH7" s="527"/>
      <c r="CI7" s="527"/>
      <c r="CJ7" s="527"/>
      <c r="CK7" s="527"/>
      <c r="CL7" s="527"/>
      <c r="CM7" s="527"/>
      <c r="CN7" s="527"/>
      <c r="CO7" s="527"/>
      <c r="CP7" s="527"/>
      <c r="CQ7" s="527"/>
      <c r="CR7" s="527"/>
      <c r="CS7" s="527"/>
      <c r="CT7" s="527"/>
      <c r="CU7" s="527"/>
      <c r="CV7" s="527"/>
      <c r="CW7" s="527"/>
      <c r="CX7" s="527"/>
      <c r="CY7" s="527"/>
      <c r="CZ7" s="527"/>
      <c r="DA7" s="527"/>
      <c r="DB7" s="527"/>
      <c r="DC7" s="527"/>
      <c r="DD7" s="527"/>
      <c r="DE7" s="527"/>
      <c r="DF7" s="527"/>
      <c r="DG7" s="527"/>
      <c r="DH7" s="527"/>
      <c r="DI7" s="527"/>
      <c r="DJ7" s="527"/>
      <c r="DK7" s="527"/>
      <c r="DL7" s="527"/>
      <c r="DM7" s="527"/>
      <c r="DN7" s="527"/>
      <c r="DO7" s="527"/>
      <c r="DP7" s="527"/>
      <c r="DQ7" s="527"/>
      <c r="DR7" s="527"/>
      <c r="DS7" s="527"/>
      <c r="DT7" s="527"/>
      <c r="DU7" s="527"/>
      <c r="DV7" s="527"/>
      <c r="DW7" s="527"/>
      <c r="DX7" s="527"/>
      <c r="DY7" s="527"/>
      <c r="DZ7" s="527"/>
      <c r="EA7" s="527"/>
      <c r="EB7" s="527"/>
      <c r="EC7" s="527"/>
      <c r="ED7" s="527"/>
      <c r="EE7" s="527"/>
      <c r="EF7" s="527"/>
      <c r="EG7" s="527"/>
      <c r="EH7" s="527"/>
      <c r="EI7" s="527"/>
      <c r="EJ7" s="527"/>
      <c r="EK7" s="527"/>
      <c r="EL7" s="527"/>
      <c r="EM7" s="527"/>
      <c r="EN7" s="527"/>
      <c r="EO7" s="527"/>
      <c r="EP7" s="527"/>
      <c r="EQ7" s="527"/>
      <c r="ER7" s="527"/>
      <c r="ES7" s="527"/>
      <c r="ET7" s="527"/>
      <c r="EU7" s="527"/>
      <c r="EV7" s="527"/>
      <c r="EW7" s="527"/>
      <c r="EX7" s="527"/>
      <c r="EY7" s="527"/>
      <c r="EZ7" s="527"/>
      <c r="FA7" s="527"/>
      <c r="FB7" s="527"/>
      <c r="FC7" s="527"/>
      <c r="FD7" s="527"/>
      <c r="FE7" s="527"/>
      <c r="FF7" s="527"/>
      <c r="FG7" s="527"/>
      <c r="FH7" s="527"/>
      <c r="FI7" s="527"/>
      <c r="FJ7" s="527"/>
      <c r="FK7" s="527"/>
      <c r="FL7" s="527"/>
      <c r="FM7" s="527"/>
      <c r="FN7" s="527"/>
      <c r="FO7" s="527"/>
      <c r="FP7" s="527"/>
      <c r="FQ7" s="527"/>
      <c r="FR7" s="527"/>
      <c r="FS7" s="527"/>
      <c r="FT7" s="527"/>
      <c r="FU7" s="527"/>
      <c r="FV7" s="527"/>
      <c r="FW7" s="527"/>
      <c r="FX7" s="527"/>
      <c r="FY7" s="527"/>
      <c r="FZ7" s="527"/>
      <c r="GA7" s="527"/>
      <c r="GB7" s="527"/>
      <c r="GC7" s="527"/>
      <c r="GD7" s="527"/>
      <c r="GE7" s="527"/>
      <c r="GF7" s="527"/>
      <c r="GG7" s="527"/>
    </row>
    <row r="8" spans="1:189" ht="20.100000000000001" customHeight="1">
      <c r="A8" s="539">
        <v>1000</v>
      </c>
      <c r="B8" s="550" t="s">
        <v>718</v>
      </c>
      <c r="C8" s="531"/>
      <c r="D8" s="551"/>
      <c r="E8" s="551"/>
      <c r="F8" s="551"/>
      <c r="G8" s="551"/>
      <c r="H8" s="551"/>
      <c r="I8" s="551">
        <v>205000</v>
      </c>
      <c r="J8" s="762">
        <f t="shared" ref="J8:J13" si="0">SUM(D8:I8)</f>
        <v>205000</v>
      </c>
      <c r="K8" s="764"/>
    </row>
    <row r="9" spans="1:189" ht="20.100000000000001" customHeight="1">
      <c r="A9" s="539">
        <v>2000</v>
      </c>
      <c r="B9" s="550" t="s">
        <v>719</v>
      </c>
      <c r="C9" s="531"/>
      <c r="D9" s="551"/>
      <c r="E9" s="551"/>
      <c r="F9" s="551"/>
      <c r="G9" s="551"/>
      <c r="H9" s="551">
        <v>254832</v>
      </c>
      <c r="I9" s="551">
        <v>100000</v>
      </c>
      <c r="J9" s="762">
        <f t="shared" si="0"/>
        <v>354832</v>
      </c>
      <c r="K9" s="764"/>
    </row>
    <row r="10" spans="1:189" ht="20.100000000000001" customHeight="1">
      <c r="A10" s="539">
        <v>3000</v>
      </c>
      <c r="B10" s="550" t="s">
        <v>720</v>
      </c>
      <c r="C10" s="531"/>
      <c r="D10" s="551"/>
      <c r="E10" s="551"/>
      <c r="F10" s="551"/>
      <c r="G10" s="551">
        <f>(G8+G9)*30</f>
        <v>0</v>
      </c>
      <c r="H10" s="551">
        <f>H9*0.5</f>
        <v>127416</v>
      </c>
      <c r="I10" s="551">
        <f>(I8*0.35)+(I9*0.5)</f>
        <v>121750</v>
      </c>
      <c r="J10" s="762">
        <f t="shared" si="0"/>
        <v>249166</v>
      </c>
      <c r="K10" s="764"/>
    </row>
    <row r="11" spans="1:189" ht="20.100000000000001" customHeight="1">
      <c r="A11" s="539">
        <v>4000</v>
      </c>
      <c r="B11" s="550" t="s">
        <v>721</v>
      </c>
      <c r="C11" s="531"/>
      <c r="D11" s="551"/>
      <c r="E11" s="551"/>
      <c r="F11" s="551"/>
      <c r="G11" s="551"/>
      <c r="H11" s="551"/>
      <c r="I11" s="551">
        <v>1602</v>
      </c>
      <c r="J11" s="762">
        <f t="shared" si="0"/>
        <v>1602</v>
      </c>
      <c r="K11" s="764"/>
    </row>
    <row r="12" spans="1:189" ht="20.100000000000001" customHeight="1">
      <c r="A12" s="539">
        <v>5000</v>
      </c>
      <c r="B12" s="550" t="s">
        <v>722</v>
      </c>
      <c r="C12" s="531"/>
      <c r="D12" s="551"/>
      <c r="E12" s="551"/>
      <c r="F12" s="551"/>
      <c r="G12" s="551"/>
      <c r="H12" s="551">
        <v>2150</v>
      </c>
      <c r="I12" s="551"/>
      <c r="J12" s="762">
        <f t="shared" si="0"/>
        <v>2150</v>
      </c>
      <c r="K12" s="764"/>
    </row>
    <row r="13" spans="1:189" ht="20.100000000000001" customHeight="1">
      <c r="A13" s="539">
        <v>6000</v>
      </c>
      <c r="B13" s="550" t="s">
        <v>723</v>
      </c>
      <c r="C13" s="531"/>
      <c r="D13" s="551"/>
      <c r="E13" s="551"/>
      <c r="F13" s="551"/>
      <c r="G13" s="551"/>
      <c r="H13" s="551"/>
      <c r="I13" s="551"/>
      <c r="J13" s="762">
        <f t="shared" si="0"/>
        <v>0</v>
      </c>
      <c r="K13" s="764"/>
    </row>
    <row r="14" spans="1:189" ht="20.100000000000001" customHeight="1" thickBot="1">
      <c r="A14" s="552">
        <v>5218</v>
      </c>
      <c r="B14" s="553" t="s">
        <v>724</v>
      </c>
      <c r="C14" s="531"/>
      <c r="D14" s="554"/>
      <c r="E14" s="554"/>
      <c r="F14" s="554"/>
      <c r="G14" s="554"/>
      <c r="H14" s="554"/>
      <c r="I14" s="554"/>
      <c r="J14" s="765"/>
      <c r="K14" s="766"/>
    </row>
    <row r="15" spans="1:189" ht="20.100000000000001" customHeight="1" thickTop="1">
      <c r="A15" s="555"/>
      <c r="B15" s="556" t="s">
        <v>725</v>
      </c>
      <c r="C15" s="531"/>
      <c r="D15" s="557">
        <f t="shared" ref="D15:H15" si="1">SUM(D8:D14)</f>
        <v>0</v>
      </c>
      <c r="E15" s="557">
        <f t="shared" si="1"/>
        <v>0</v>
      </c>
      <c r="F15" s="557">
        <f t="shared" si="1"/>
        <v>0</v>
      </c>
      <c r="G15" s="557">
        <f t="shared" si="1"/>
        <v>0</v>
      </c>
      <c r="H15" s="557">
        <f t="shared" si="1"/>
        <v>384398</v>
      </c>
      <c r="I15" s="557">
        <f>SUM(I8:I14)</f>
        <v>428352</v>
      </c>
      <c r="J15" s="767">
        <f>SUM(D15:I15)</f>
        <v>812750</v>
      </c>
      <c r="K15" s="768"/>
    </row>
    <row r="16" spans="1:189" ht="20.100000000000001" customHeight="1">
      <c r="A16" s="558"/>
      <c r="B16" s="559" t="s">
        <v>726</v>
      </c>
      <c r="C16" s="560"/>
      <c r="D16" s="561"/>
      <c r="E16" s="561"/>
      <c r="F16" s="561"/>
      <c r="G16" s="561"/>
      <c r="H16" s="561"/>
      <c r="I16" s="561"/>
      <c r="J16" s="769">
        <v>812750</v>
      </c>
      <c r="K16" s="770"/>
    </row>
    <row r="17" spans="1:11" ht="20.100000000000001" hidden="1" customHeight="1">
      <c r="A17" s="562"/>
      <c r="B17" s="563"/>
      <c r="C17" s="564"/>
      <c r="D17" s="565">
        <f t="shared" ref="D17:I17" si="2">D16-D15</f>
        <v>0</v>
      </c>
      <c r="E17" s="565">
        <f t="shared" si="2"/>
        <v>0</v>
      </c>
      <c r="F17" s="565">
        <f t="shared" si="2"/>
        <v>0</v>
      </c>
      <c r="G17" s="565">
        <f t="shared" si="2"/>
        <v>0</v>
      </c>
      <c r="H17" s="565">
        <f t="shared" si="2"/>
        <v>-384398</v>
      </c>
      <c r="I17" s="565">
        <f t="shared" si="2"/>
        <v>-428352</v>
      </c>
      <c r="J17" s="771"/>
      <c r="K17" s="772"/>
    </row>
    <row r="18" spans="1:11" ht="20.100000000000001" customHeight="1">
      <c r="C18" s="527"/>
      <c r="D18" s="566"/>
      <c r="F18" s="566"/>
      <c r="G18" s="566"/>
      <c r="H18" s="567"/>
      <c r="I18" s="568"/>
      <c r="J18" s="566"/>
      <c r="K18" s="566"/>
    </row>
    <row r="19" spans="1:11" ht="20.100000000000001" hidden="1" customHeight="1">
      <c r="A19" s="569"/>
      <c r="B19" s="570" t="s">
        <v>704</v>
      </c>
      <c r="C19" s="571"/>
      <c r="D19" s="572"/>
      <c r="E19" s="572"/>
      <c r="F19" s="572"/>
      <c r="G19" s="573"/>
      <c r="H19" s="574"/>
      <c r="I19" s="575"/>
      <c r="J19" s="576"/>
      <c r="K19" s="577"/>
    </row>
    <row r="20" spans="1:11" ht="20.100000000000001" hidden="1" customHeight="1">
      <c r="A20" s="578"/>
      <c r="B20" s="530" t="s">
        <v>705</v>
      </c>
      <c r="C20" s="579"/>
      <c r="D20" s="532"/>
      <c r="E20" s="532"/>
      <c r="F20" s="532"/>
      <c r="G20" s="532"/>
      <c r="H20" s="580"/>
      <c r="I20" s="581"/>
      <c r="J20" s="533"/>
      <c r="K20" s="582"/>
    </row>
    <row r="21" spans="1:11" ht="20.100000000000001" hidden="1" customHeight="1">
      <c r="A21" s="578"/>
      <c r="B21" s="535" t="s">
        <v>637</v>
      </c>
      <c r="C21" s="579"/>
      <c r="D21" s="536"/>
      <c r="E21" s="536"/>
      <c r="F21" s="536"/>
      <c r="G21" s="583"/>
      <c r="H21" s="584"/>
      <c r="I21" s="585"/>
      <c r="J21" s="537" t="s">
        <v>727</v>
      </c>
      <c r="K21" s="582"/>
    </row>
    <row r="22" spans="1:11" ht="20.100000000000001" hidden="1" customHeight="1">
      <c r="A22" s="578"/>
      <c r="B22" s="535" t="s">
        <v>707</v>
      </c>
      <c r="C22" s="579"/>
      <c r="D22" s="536"/>
      <c r="E22" s="536"/>
      <c r="F22" s="536"/>
      <c r="G22" s="583"/>
      <c r="H22" s="584"/>
      <c r="I22" s="585"/>
      <c r="J22" s="537" t="s">
        <v>728</v>
      </c>
      <c r="K22" s="582"/>
    </row>
    <row r="23" spans="1:11" ht="20.100000000000001" hidden="1" customHeight="1">
      <c r="A23" s="578"/>
      <c r="B23" s="535" t="s">
        <v>709</v>
      </c>
      <c r="C23" s="579"/>
      <c r="D23" s="538"/>
      <c r="E23" s="538"/>
      <c r="F23" s="538"/>
      <c r="G23" s="586"/>
      <c r="H23" s="587"/>
      <c r="I23" s="588"/>
      <c r="J23" s="537" t="s">
        <v>729</v>
      </c>
      <c r="K23" s="582"/>
    </row>
    <row r="24" spans="1:11" ht="20.100000000000001" hidden="1" customHeight="1">
      <c r="A24" s="589" t="s">
        <v>716</v>
      </c>
      <c r="B24" s="540" t="s">
        <v>717</v>
      </c>
      <c r="C24" s="579"/>
      <c r="D24" s="541"/>
      <c r="E24" s="541"/>
      <c r="F24" s="541"/>
      <c r="G24" s="590"/>
      <c r="H24" s="591"/>
      <c r="I24" s="592"/>
      <c r="J24" s="542"/>
      <c r="K24" s="582"/>
    </row>
    <row r="25" spans="1:11" ht="7.5" hidden="1" customHeight="1">
      <c r="A25" s="545"/>
      <c r="B25" s="544"/>
      <c r="C25" s="593"/>
      <c r="D25" s="546"/>
      <c r="E25" s="546"/>
      <c r="F25" s="546"/>
      <c r="G25" s="546"/>
      <c r="H25" s="594"/>
      <c r="I25" s="595"/>
      <c r="J25" s="547"/>
      <c r="K25" s="596"/>
    </row>
    <row r="26" spans="1:11" ht="20.100000000000001" hidden="1" customHeight="1">
      <c r="A26" s="589">
        <v>1000</v>
      </c>
      <c r="B26" s="550" t="s">
        <v>718</v>
      </c>
      <c r="C26" s="579"/>
      <c r="D26" s="551"/>
      <c r="E26" s="551"/>
      <c r="F26" s="551"/>
      <c r="G26" s="551"/>
      <c r="H26" s="597"/>
      <c r="I26" s="598"/>
      <c r="J26" s="762"/>
      <c r="K26" s="763"/>
    </row>
    <row r="27" spans="1:11" ht="20.100000000000001" hidden="1" customHeight="1">
      <c r="A27" s="589">
        <v>2000</v>
      </c>
      <c r="B27" s="550" t="s">
        <v>719</v>
      </c>
      <c r="C27" s="579"/>
      <c r="D27" s="551"/>
      <c r="E27" s="551"/>
      <c r="F27" s="551"/>
      <c r="G27" s="551"/>
      <c r="H27" s="597"/>
      <c r="I27" s="598"/>
      <c r="J27" s="762"/>
      <c r="K27" s="763"/>
    </row>
    <row r="28" spans="1:11" ht="20.100000000000001" hidden="1" customHeight="1">
      <c r="A28" s="589">
        <v>3000</v>
      </c>
      <c r="B28" s="550" t="s">
        <v>720</v>
      </c>
      <c r="C28" s="579"/>
      <c r="D28" s="551"/>
      <c r="E28" s="551"/>
      <c r="F28" s="551"/>
      <c r="G28" s="551"/>
      <c r="H28" s="597"/>
      <c r="I28" s="598"/>
      <c r="J28" s="762"/>
      <c r="K28" s="763"/>
    </row>
    <row r="29" spans="1:11" ht="20.100000000000001" hidden="1" customHeight="1">
      <c r="A29" s="589">
        <v>4000</v>
      </c>
      <c r="B29" s="550" t="s">
        <v>721</v>
      </c>
      <c r="C29" s="579"/>
      <c r="D29" s="551"/>
      <c r="E29" s="551"/>
      <c r="F29" s="551"/>
      <c r="G29" s="551"/>
      <c r="H29" s="597"/>
      <c r="I29" s="598"/>
      <c r="J29" s="762"/>
      <c r="K29" s="763"/>
    </row>
    <row r="30" spans="1:11" ht="20.100000000000001" hidden="1" customHeight="1">
      <c r="A30" s="589">
        <v>5000</v>
      </c>
      <c r="B30" s="550" t="s">
        <v>722</v>
      </c>
      <c r="C30" s="579"/>
      <c r="D30" s="551"/>
      <c r="E30" s="551"/>
      <c r="F30" s="551"/>
      <c r="G30" s="551"/>
      <c r="H30" s="597"/>
      <c r="I30" s="598"/>
      <c r="J30" s="762"/>
      <c r="K30" s="763"/>
    </row>
    <row r="31" spans="1:11" ht="20.100000000000001" hidden="1" customHeight="1">
      <c r="A31" s="589">
        <v>6000</v>
      </c>
      <c r="B31" s="550" t="s">
        <v>723</v>
      </c>
      <c r="C31" s="579"/>
      <c r="D31" s="551"/>
      <c r="E31" s="551"/>
      <c r="F31" s="551"/>
      <c r="G31" s="551"/>
      <c r="H31" s="597"/>
      <c r="I31" s="598"/>
      <c r="J31" s="762"/>
      <c r="K31" s="763"/>
    </row>
    <row r="32" spans="1:11" ht="20.100000000000001" hidden="1" customHeight="1">
      <c r="A32" s="599">
        <v>5218</v>
      </c>
      <c r="B32" s="553" t="s">
        <v>724</v>
      </c>
      <c r="C32" s="579"/>
      <c r="D32" s="554"/>
      <c r="E32" s="554"/>
      <c r="F32" s="554"/>
      <c r="G32" s="554"/>
      <c r="H32" s="600"/>
      <c r="I32" s="601"/>
      <c r="J32" s="765"/>
      <c r="K32" s="775"/>
    </row>
    <row r="33" spans="1:11" ht="20.100000000000001" hidden="1" customHeight="1">
      <c r="A33" s="602"/>
      <c r="B33" s="556" t="s">
        <v>729</v>
      </c>
      <c r="C33" s="531"/>
      <c r="D33" s="557"/>
      <c r="E33" s="557"/>
      <c r="F33" s="557"/>
      <c r="G33" s="557"/>
      <c r="H33" s="603"/>
      <c r="I33" s="604"/>
      <c r="J33" s="767"/>
      <c r="K33" s="776"/>
    </row>
    <row r="34" spans="1:11" ht="20.100000000000001" hidden="1" customHeight="1">
      <c r="A34" s="602"/>
      <c r="B34" s="559" t="s">
        <v>730</v>
      </c>
      <c r="C34" s="605"/>
      <c r="D34" s="606"/>
      <c r="E34" s="606"/>
      <c r="F34" s="606"/>
      <c r="G34" s="606"/>
      <c r="H34" s="607"/>
      <c r="I34" s="608"/>
      <c r="J34" s="773"/>
      <c r="K34" s="774"/>
    </row>
    <row r="35" spans="1:11" ht="20.100000000000001" hidden="1" customHeight="1">
      <c r="A35" s="562"/>
      <c r="B35" s="609"/>
      <c r="C35" s="564"/>
      <c r="D35" s="565"/>
      <c r="E35" s="565"/>
      <c r="F35" s="565"/>
      <c r="G35" s="565"/>
      <c r="H35" s="610"/>
      <c r="I35" s="611"/>
      <c r="J35" s="771"/>
      <c r="K35" s="772"/>
    </row>
    <row r="36" spans="1:11" hidden="1">
      <c r="C36" s="527"/>
      <c r="H36" s="612"/>
      <c r="I36" s="568"/>
    </row>
    <row r="37" spans="1:11" hidden="1">
      <c r="C37" s="527"/>
      <c r="H37" s="612"/>
      <c r="I37" s="568"/>
    </row>
    <row r="38" spans="1:11" hidden="1">
      <c r="G38" s="614"/>
      <c r="H38" s="612"/>
      <c r="I38" s="568"/>
    </row>
    <row r="39" spans="1:11">
      <c r="H39" s="567"/>
      <c r="I39" s="568"/>
    </row>
    <row r="40" spans="1:11">
      <c r="H40" s="567"/>
    </row>
    <row r="41" spans="1:11">
      <c r="H41" s="612"/>
    </row>
    <row r="43" spans="1:11">
      <c r="K43" s="567"/>
    </row>
  </sheetData>
  <mergeCells count="20">
    <mergeCell ref="J34:K34"/>
    <mergeCell ref="J35:K35"/>
    <mergeCell ref="J28:K28"/>
    <mergeCell ref="J29:K29"/>
    <mergeCell ref="J30:K30"/>
    <mergeCell ref="J31:K31"/>
    <mergeCell ref="J32:K32"/>
    <mergeCell ref="J33:K33"/>
    <mergeCell ref="J27:K27"/>
    <mergeCell ref="J8:K8"/>
    <mergeCell ref="J9:K9"/>
    <mergeCell ref="J10:K10"/>
    <mergeCell ref="J11:K11"/>
    <mergeCell ref="J12:K12"/>
    <mergeCell ref="J13:K13"/>
    <mergeCell ref="J14:K14"/>
    <mergeCell ref="J15:K15"/>
    <mergeCell ref="J16:K16"/>
    <mergeCell ref="J17:K17"/>
    <mergeCell ref="J26:K26"/>
  </mergeCells>
  <conditionalFormatting sqref="D35:J35 D17:K17">
    <cfRule type="cellIs" dxfId="1" priority="1" stopIfTrue="1" operator="lessThan">
      <formula>0</formula>
    </cfRule>
    <cfRule type="cellIs" dxfId="0" priority="2" stopIfTrue="1" operator="greaterThan">
      <formula>0</formula>
    </cfRule>
  </conditionalFormatting>
  <printOptions horizontalCentered="1" verticalCentered="1"/>
  <pageMargins left="0.2" right="0.2" top="1" bottom="0.25" header="0.5" footer="0.25"/>
  <pageSetup scale="70" orientation="landscape" r:id="rId1"/>
  <headerFooter alignWithMargins="0">
    <oddHeader>&amp;LDe Anza College&amp;C&amp;"Arial,Bold"&amp;11Strong Workforce Program - Regional Share
Round 7 - Fund TBD
Proposed Budget&amp;R&amp;"Arial,Bold"&amp;12 7/1/2022 to 12/31/2024</oddHeader>
    <oddFooter>&amp;LUpdated: 12/5/2022&amp;CRevised Allocation $812,750&amp;RPrepared by Margaret Bdzil
CTE and Workforce Dev.</oddFooter>
    <firstHeader>&amp;LDe Anza College&amp;C&amp;"Arial,Bold"&amp;12Strong Workforce Program - Regional Share 
Round 4 - Fund 135052
 Proposed Budget
&amp;R&amp;"Arial,Bold" 7/1/2020 to 12/31/2021</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599-6C74-784C-A6FC-D46D17B1928C}">
  <dimension ref="A1:GU35"/>
  <sheetViews>
    <sheetView zoomScaleNormal="100" workbookViewId="0">
      <selection activeCell="E26" sqref="E26"/>
    </sheetView>
  </sheetViews>
  <sheetFormatPr defaultColWidth="11.5" defaultRowHeight="12.95"/>
  <cols>
    <col min="1" max="1" width="10.875" style="527" customWidth="1"/>
    <col min="2" max="2" width="28.125" style="527" customWidth="1"/>
    <col min="3" max="3" width="1.625" style="613" customWidth="1"/>
    <col min="4" max="14" width="13.375" style="527" customWidth="1"/>
    <col min="15" max="15" width="13.875" style="527" customWidth="1"/>
    <col min="16" max="16" width="11.5" style="527" bestFit="1" customWidth="1"/>
    <col min="17" max="16384" width="11.5" style="527"/>
  </cols>
  <sheetData>
    <row r="1" spans="1:203" s="528" customFormat="1" ht="20.100000000000001" customHeight="1">
      <c r="A1" s="569"/>
      <c r="B1" s="570" t="s">
        <v>704</v>
      </c>
      <c r="C1" s="615"/>
      <c r="D1" s="572" t="s">
        <v>731</v>
      </c>
      <c r="E1" s="572" t="s">
        <v>732</v>
      </c>
      <c r="F1" s="572" t="s">
        <v>733</v>
      </c>
      <c r="G1" s="572" t="s">
        <v>23</v>
      </c>
      <c r="H1" s="572" t="s">
        <v>734</v>
      </c>
      <c r="I1" s="572" t="s">
        <v>8</v>
      </c>
      <c r="J1" s="572" t="s">
        <v>10</v>
      </c>
      <c r="K1" s="572" t="s">
        <v>9</v>
      </c>
      <c r="L1" s="572" t="s">
        <v>21</v>
      </c>
      <c r="M1" s="572" t="s">
        <v>735</v>
      </c>
      <c r="N1" s="572" t="s">
        <v>15</v>
      </c>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c r="CL1" s="527"/>
      <c r="CM1" s="527"/>
      <c r="CN1" s="527"/>
      <c r="CO1" s="527"/>
      <c r="CP1" s="527"/>
      <c r="CQ1" s="527"/>
      <c r="CR1" s="527"/>
      <c r="CS1" s="527"/>
      <c r="CT1" s="527"/>
      <c r="CU1" s="527"/>
      <c r="CV1" s="527"/>
      <c r="CW1" s="527"/>
      <c r="CX1" s="527"/>
      <c r="CY1" s="527"/>
      <c r="CZ1" s="527"/>
      <c r="DA1" s="527"/>
      <c r="DB1" s="527"/>
      <c r="DC1" s="527"/>
      <c r="DD1" s="527"/>
      <c r="DE1" s="527"/>
      <c r="DF1" s="527"/>
      <c r="DG1" s="527"/>
      <c r="DH1" s="527"/>
      <c r="DI1" s="527"/>
      <c r="DJ1" s="527"/>
      <c r="DK1" s="527"/>
      <c r="DL1" s="527"/>
      <c r="DM1" s="527"/>
      <c r="DN1" s="527"/>
      <c r="DO1" s="527"/>
      <c r="DP1" s="527"/>
      <c r="DQ1" s="527"/>
      <c r="DR1" s="527"/>
      <c r="DS1" s="527"/>
      <c r="DT1" s="527"/>
      <c r="DU1" s="527"/>
      <c r="DV1" s="527"/>
      <c r="DW1" s="527"/>
      <c r="DX1" s="527"/>
      <c r="DY1" s="527"/>
      <c r="DZ1" s="527"/>
      <c r="EA1" s="527"/>
      <c r="EB1" s="527"/>
      <c r="EC1" s="527"/>
      <c r="ED1" s="527"/>
      <c r="EE1" s="527"/>
      <c r="EF1" s="527"/>
      <c r="EG1" s="527"/>
      <c r="EH1" s="527"/>
      <c r="EI1" s="527"/>
      <c r="EJ1" s="527"/>
      <c r="EK1" s="527"/>
      <c r="EL1" s="527"/>
      <c r="EM1" s="527"/>
      <c r="EN1" s="527"/>
      <c r="EO1" s="527"/>
      <c r="EP1" s="527"/>
      <c r="EQ1" s="527"/>
      <c r="ER1" s="527"/>
      <c r="ES1" s="527"/>
      <c r="ET1" s="527"/>
      <c r="EU1" s="527"/>
      <c r="EV1" s="527"/>
      <c r="EW1" s="527"/>
      <c r="EX1" s="527"/>
      <c r="EY1" s="527"/>
      <c r="EZ1" s="527"/>
      <c r="FA1" s="527"/>
      <c r="FB1" s="527"/>
      <c r="FC1" s="527"/>
      <c r="FD1" s="527"/>
      <c r="FE1" s="527"/>
      <c r="FF1" s="527"/>
      <c r="FG1" s="527"/>
      <c r="FH1" s="527"/>
      <c r="FI1" s="527"/>
      <c r="FJ1" s="527"/>
      <c r="FK1" s="527"/>
      <c r="FL1" s="527"/>
      <c r="FM1" s="527"/>
      <c r="FN1" s="527"/>
      <c r="FO1" s="527"/>
      <c r="FP1" s="527"/>
      <c r="FQ1" s="527"/>
      <c r="FR1" s="527"/>
      <c r="FS1" s="527"/>
      <c r="FT1" s="527"/>
      <c r="FU1" s="527"/>
      <c r="FV1" s="527"/>
      <c r="FW1" s="527"/>
      <c r="FX1" s="527"/>
      <c r="FY1" s="527"/>
      <c r="FZ1" s="527"/>
      <c r="GA1" s="527"/>
      <c r="GB1" s="527"/>
      <c r="GC1" s="527"/>
      <c r="GD1" s="527"/>
      <c r="GE1" s="527"/>
      <c r="GF1" s="527"/>
      <c r="GG1" s="527"/>
      <c r="GH1" s="527"/>
      <c r="GI1" s="527"/>
      <c r="GJ1" s="527"/>
      <c r="GK1" s="527"/>
      <c r="GL1" s="527"/>
      <c r="GM1" s="527"/>
      <c r="GN1" s="527"/>
      <c r="GO1" s="527"/>
      <c r="GP1" s="527"/>
      <c r="GQ1" s="527"/>
      <c r="GR1" s="527"/>
      <c r="GS1" s="527"/>
      <c r="GT1" s="527"/>
      <c r="GU1" s="527"/>
    </row>
    <row r="2" spans="1:203" s="528" customFormat="1" ht="20.100000000000001" customHeight="1">
      <c r="A2" s="578"/>
      <c r="B2" s="530" t="s">
        <v>705</v>
      </c>
      <c r="C2" s="531"/>
      <c r="D2" s="532"/>
      <c r="E2" s="532"/>
      <c r="F2" s="532"/>
      <c r="G2" s="532"/>
      <c r="H2" s="532"/>
      <c r="I2" s="532"/>
      <c r="J2" s="532"/>
      <c r="K2" s="532"/>
      <c r="L2" s="532"/>
      <c r="M2" s="532"/>
      <c r="N2" s="532"/>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527"/>
      <c r="DC2" s="527"/>
      <c r="DD2" s="527"/>
      <c r="DE2" s="527"/>
      <c r="DF2" s="527"/>
      <c r="DG2" s="527"/>
      <c r="DH2" s="527"/>
      <c r="DI2" s="527"/>
      <c r="DJ2" s="527"/>
      <c r="DK2" s="527"/>
      <c r="DL2" s="527"/>
      <c r="DM2" s="527"/>
      <c r="DN2" s="527"/>
      <c r="DO2" s="527"/>
      <c r="DP2" s="527"/>
      <c r="DQ2" s="527"/>
      <c r="DR2" s="527"/>
      <c r="DS2" s="527"/>
      <c r="DT2" s="527"/>
      <c r="DU2" s="527"/>
      <c r="DV2" s="527"/>
      <c r="DW2" s="527"/>
      <c r="DX2" s="527"/>
      <c r="DY2" s="527"/>
      <c r="DZ2" s="527"/>
      <c r="EA2" s="527"/>
      <c r="EB2" s="527"/>
      <c r="EC2" s="527"/>
      <c r="ED2" s="527"/>
      <c r="EE2" s="527"/>
      <c r="EF2" s="527"/>
      <c r="EG2" s="527"/>
      <c r="EH2" s="527"/>
      <c r="EI2" s="527"/>
      <c r="EJ2" s="527"/>
      <c r="EK2" s="527"/>
      <c r="EL2" s="527"/>
      <c r="EM2" s="527"/>
      <c r="EN2" s="527"/>
      <c r="EO2" s="527"/>
      <c r="EP2" s="527"/>
      <c r="EQ2" s="527"/>
      <c r="ER2" s="527"/>
      <c r="ES2" s="527"/>
      <c r="ET2" s="527"/>
      <c r="EU2" s="527"/>
      <c r="EV2" s="527"/>
      <c r="EW2" s="527"/>
      <c r="EX2" s="527"/>
      <c r="EY2" s="527"/>
      <c r="EZ2" s="527"/>
      <c r="FA2" s="527"/>
      <c r="FB2" s="527"/>
      <c r="FC2" s="527"/>
      <c r="FD2" s="527"/>
      <c r="FE2" s="527"/>
      <c r="FF2" s="527"/>
      <c r="FG2" s="527"/>
      <c r="FH2" s="527"/>
      <c r="FI2" s="527"/>
      <c r="FJ2" s="527"/>
      <c r="FK2" s="527"/>
      <c r="FL2" s="527"/>
      <c r="FM2" s="527"/>
      <c r="FN2" s="527"/>
      <c r="FO2" s="527"/>
      <c r="FP2" s="527"/>
      <c r="FQ2" s="527"/>
      <c r="FR2" s="527"/>
      <c r="FS2" s="527"/>
      <c r="FT2" s="527"/>
      <c r="FU2" s="527"/>
      <c r="FV2" s="527"/>
      <c r="FW2" s="527"/>
      <c r="FX2" s="527"/>
      <c r="FY2" s="527"/>
      <c r="FZ2" s="527"/>
      <c r="GA2" s="527"/>
      <c r="GB2" s="527"/>
      <c r="GC2" s="527"/>
      <c r="GD2" s="527"/>
      <c r="GE2" s="527"/>
      <c r="GF2" s="527"/>
      <c r="GG2" s="527"/>
      <c r="GH2" s="527"/>
      <c r="GI2" s="527"/>
      <c r="GJ2" s="527"/>
      <c r="GK2" s="527"/>
      <c r="GL2" s="527"/>
      <c r="GM2" s="527"/>
      <c r="GN2" s="527"/>
      <c r="GO2" s="527"/>
      <c r="GP2" s="527"/>
      <c r="GQ2" s="527"/>
      <c r="GR2" s="527"/>
      <c r="GS2" s="527"/>
      <c r="GT2" s="527"/>
      <c r="GU2" s="527"/>
    </row>
    <row r="3" spans="1:203" s="528" customFormat="1" ht="20.100000000000001" customHeight="1">
      <c r="A3" s="578"/>
      <c r="B3" s="535" t="s">
        <v>637</v>
      </c>
      <c r="C3" s="531"/>
      <c r="D3" s="616">
        <v>135063</v>
      </c>
      <c r="E3" s="616">
        <v>135063</v>
      </c>
      <c r="F3" s="616">
        <v>135063</v>
      </c>
      <c r="G3" s="616">
        <v>135063</v>
      </c>
      <c r="H3" s="616">
        <v>135063</v>
      </c>
      <c r="I3" s="616">
        <v>135063</v>
      </c>
      <c r="J3" s="616">
        <v>135063</v>
      </c>
      <c r="K3" s="616">
        <v>135063</v>
      </c>
      <c r="L3" s="616">
        <v>135063</v>
      </c>
      <c r="M3" s="616">
        <v>135063</v>
      </c>
      <c r="N3" s="616">
        <v>135063</v>
      </c>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527"/>
      <c r="FV3" s="527"/>
      <c r="FW3" s="527"/>
      <c r="FX3" s="527"/>
      <c r="FY3" s="527"/>
      <c r="FZ3" s="527"/>
      <c r="GA3" s="527"/>
      <c r="GB3" s="527"/>
      <c r="GC3" s="527"/>
      <c r="GD3" s="527"/>
      <c r="GE3" s="527"/>
      <c r="GF3" s="527"/>
      <c r="GG3" s="527"/>
      <c r="GH3" s="527"/>
      <c r="GI3" s="527"/>
      <c r="GJ3" s="527"/>
      <c r="GK3" s="527"/>
      <c r="GL3" s="527"/>
      <c r="GM3" s="527"/>
      <c r="GN3" s="527"/>
      <c r="GO3" s="527"/>
      <c r="GP3" s="527"/>
      <c r="GQ3" s="527"/>
      <c r="GR3" s="527"/>
      <c r="GS3" s="527"/>
      <c r="GT3" s="527"/>
      <c r="GU3" s="527"/>
    </row>
    <row r="4" spans="1:203" s="528" customFormat="1" ht="20.100000000000001" customHeight="1">
      <c r="A4" s="578"/>
      <c r="B4" s="535" t="s">
        <v>707</v>
      </c>
      <c r="C4" s="531"/>
      <c r="D4" s="536">
        <v>237044</v>
      </c>
      <c r="E4" s="536">
        <v>237095</v>
      </c>
      <c r="F4" s="536">
        <v>237046</v>
      </c>
      <c r="G4" s="536">
        <v>237078</v>
      </c>
      <c r="H4" s="536">
        <v>237094</v>
      </c>
      <c r="I4" s="536">
        <v>237050</v>
      </c>
      <c r="J4" s="536">
        <v>237071</v>
      </c>
      <c r="K4" s="536">
        <v>237051</v>
      </c>
      <c r="L4" s="536">
        <v>237052</v>
      </c>
      <c r="M4" s="536">
        <v>237053</v>
      </c>
      <c r="N4" s="536">
        <v>237054</v>
      </c>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27"/>
      <c r="FQ4" s="527"/>
      <c r="FR4" s="527"/>
      <c r="FS4" s="527"/>
      <c r="FT4" s="527"/>
      <c r="FU4" s="527"/>
      <c r="FV4" s="527"/>
      <c r="FW4" s="527"/>
      <c r="FX4" s="527"/>
      <c r="FY4" s="527"/>
      <c r="FZ4" s="527"/>
      <c r="GA4" s="527"/>
      <c r="GB4" s="527"/>
      <c r="GC4" s="527"/>
      <c r="GD4" s="527"/>
      <c r="GE4" s="527"/>
      <c r="GF4" s="527"/>
      <c r="GG4" s="527"/>
      <c r="GH4" s="527"/>
      <c r="GI4" s="527"/>
      <c r="GJ4" s="527"/>
      <c r="GK4" s="527"/>
      <c r="GL4" s="527"/>
      <c r="GM4" s="527"/>
      <c r="GN4" s="527"/>
      <c r="GO4" s="527"/>
      <c r="GP4" s="527"/>
      <c r="GQ4" s="527"/>
      <c r="GR4" s="527"/>
      <c r="GS4" s="527"/>
      <c r="GT4" s="527"/>
      <c r="GU4" s="527"/>
    </row>
    <row r="5" spans="1:203" s="528" customFormat="1" ht="20.100000000000001" customHeight="1">
      <c r="A5" s="578"/>
      <c r="B5" s="535" t="s">
        <v>709</v>
      </c>
      <c r="C5" s="531"/>
      <c r="D5" s="538" t="s">
        <v>736</v>
      </c>
      <c r="E5" s="538" t="s">
        <v>737</v>
      </c>
      <c r="F5" s="538" t="s">
        <v>738</v>
      </c>
      <c r="G5" s="538" t="s">
        <v>739</v>
      </c>
      <c r="H5" s="538" t="s">
        <v>740</v>
      </c>
      <c r="I5" s="538" t="s">
        <v>710</v>
      </c>
      <c r="J5" s="538" t="s">
        <v>711</v>
      </c>
      <c r="K5" s="538" t="s">
        <v>712</v>
      </c>
      <c r="L5" s="538" t="s">
        <v>741</v>
      </c>
      <c r="M5" s="538" t="s">
        <v>742</v>
      </c>
      <c r="N5" s="538" t="s">
        <v>743</v>
      </c>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7"/>
      <c r="EZ5" s="527"/>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c r="GH5" s="527"/>
      <c r="GI5" s="527"/>
      <c r="GJ5" s="527"/>
      <c r="GK5" s="527"/>
      <c r="GL5" s="527"/>
      <c r="GM5" s="527"/>
      <c r="GN5" s="527"/>
      <c r="GO5" s="527"/>
      <c r="GP5" s="527"/>
      <c r="GQ5" s="527"/>
      <c r="GR5" s="527"/>
      <c r="GS5" s="527"/>
      <c r="GT5" s="527"/>
      <c r="GU5" s="527"/>
    </row>
    <row r="6" spans="1:203" ht="20.100000000000001" customHeight="1">
      <c r="A6" s="589" t="s">
        <v>716</v>
      </c>
      <c r="B6" s="540" t="s">
        <v>717</v>
      </c>
      <c r="C6" s="531"/>
      <c r="D6" s="541"/>
      <c r="E6" s="541"/>
      <c r="F6" s="541"/>
      <c r="G6" s="541"/>
      <c r="H6" s="541"/>
      <c r="I6" s="541"/>
      <c r="J6" s="541"/>
      <c r="K6" s="541"/>
      <c r="L6" s="541"/>
      <c r="M6" s="541"/>
      <c r="N6" s="541"/>
    </row>
    <row r="7" spans="1:203" s="549" customFormat="1" ht="6.95" customHeight="1">
      <c r="A7" s="545"/>
      <c r="B7" s="544"/>
      <c r="C7" s="545"/>
      <c r="D7" s="546"/>
      <c r="E7" s="546"/>
      <c r="F7" s="546"/>
      <c r="G7" s="546"/>
      <c r="H7" s="546"/>
      <c r="I7" s="546"/>
      <c r="J7" s="546"/>
      <c r="K7" s="546"/>
      <c r="L7" s="546"/>
      <c r="M7" s="546"/>
      <c r="N7" s="546"/>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527"/>
      <c r="BZ7" s="527"/>
      <c r="CA7" s="527"/>
      <c r="CB7" s="527"/>
      <c r="CC7" s="527"/>
      <c r="CD7" s="527"/>
      <c r="CE7" s="527"/>
      <c r="CF7" s="527"/>
      <c r="CG7" s="527"/>
      <c r="CH7" s="527"/>
      <c r="CI7" s="527"/>
      <c r="CJ7" s="527"/>
      <c r="CK7" s="527"/>
      <c r="CL7" s="527"/>
      <c r="CM7" s="527"/>
      <c r="CN7" s="527"/>
      <c r="CO7" s="527"/>
      <c r="CP7" s="527"/>
      <c r="CQ7" s="527"/>
      <c r="CR7" s="527"/>
      <c r="CS7" s="527"/>
      <c r="CT7" s="527"/>
      <c r="CU7" s="527"/>
      <c r="CV7" s="527"/>
      <c r="CW7" s="527"/>
      <c r="CX7" s="527"/>
      <c r="CY7" s="527"/>
      <c r="CZ7" s="527"/>
      <c r="DA7" s="527"/>
      <c r="DB7" s="527"/>
      <c r="DC7" s="527"/>
      <c r="DD7" s="527"/>
      <c r="DE7" s="527"/>
      <c r="DF7" s="527"/>
      <c r="DG7" s="527"/>
      <c r="DH7" s="527"/>
      <c r="DI7" s="527"/>
      <c r="DJ7" s="527"/>
      <c r="DK7" s="527"/>
      <c r="DL7" s="527"/>
      <c r="DM7" s="527"/>
      <c r="DN7" s="527"/>
      <c r="DO7" s="527"/>
      <c r="DP7" s="527"/>
      <c r="DQ7" s="527"/>
      <c r="DR7" s="527"/>
      <c r="DS7" s="527"/>
      <c r="DT7" s="527"/>
      <c r="DU7" s="527"/>
      <c r="DV7" s="527"/>
      <c r="DW7" s="527"/>
      <c r="DX7" s="527"/>
      <c r="DY7" s="527"/>
      <c r="DZ7" s="527"/>
      <c r="EA7" s="527"/>
      <c r="EB7" s="527"/>
      <c r="EC7" s="527"/>
      <c r="ED7" s="527"/>
      <c r="EE7" s="527"/>
      <c r="EF7" s="527"/>
      <c r="EG7" s="527"/>
      <c r="EH7" s="527"/>
      <c r="EI7" s="527"/>
      <c r="EJ7" s="527"/>
      <c r="EK7" s="527"/>
      <c r="EL7" s="527"/>
      <c r="EM7" s="527"/>
      <c r="EN7" s="527"/>
      <c r="EO7" s="527"/>
      <c r="EP7" s="527"/>
      <c r="EQ7" s="527"/>
      <c r="ER7" s="527"/>
      <c r="ES7" s="527"/>
      <c r="ET7" s="527"/>
      <c r="EU7" s="527"/>
      <c r="EV7" s="527"/>
      <c r="EW7" s="527"/>
      <c r="EX7" s="527"/>
      <c r="EY7" s="527"/>
      <c r="EZ7" s="527"/>
      <c r="FA7" s="527"/>
      <c r="FB7" s="527"/>
      <c r="FC7" s="527"/>
      <c r="FD7" s="527"/>
      <c r="FE7" s="527"/>
      <c r="FF7" s="527"/>
      <c r="FG7" s="527"/>
      <c r="FH7" s="527"/>
      <c r="FI7" s="527"/>
      <c r="FJ7" s="527"/>
      <c r="FK7" s="527"/>
      <c r="FL7" s="527"/>
      <c r="FM7" s="527"/>
      <c r="FN7" s="527"/>
      <c r="FO7" s="527"/>
      <c r="FP7" s="527"/>
      <c r="FQ7" s="527"/>
      <c r="FR7" s="527"/>
      <c r="FS7" s="527"/>
      <c r="FT7" s="527"/>
      <c r="FU7" s="527"/>
      <c r="FV7" s="527"/>
      <c r="FW7" s="527"/>
      <c r="FX7" s="527"/>
      <c r="FY7" s="527"/>
      <c r="FZ7" s="527"/>
      <c r="GA7" s="527"/>
      <c r="GB7" s="527"/>
      <c r="GC7" s="527"/>
      <c r="GD7" s="527"/>
      <c r="GE7" s="527"/>
      <c r="GF7" s="527"/>
      <c r="GG7" s="527"/>
      <c r="GH7" s="527"/>
      <c r="GI7" s="527"/>
      <c r="GJ7" s="527"/>
      <c r="GK7" s="527"/>
      <c r="GL7" s="527"/>
      <c r="GM7" s="527"/>
      <c r="GN7" s="527"/>
      <c r="GO7" s="527"/>
      <c r="GP7" s="527"/>
      <c r="GQ7" s="527"/>
      <c r="GR7" s="527"/>
      <c r="GS7" s="527"/>
      <c r="GT7" s="527"/>
      <c r="GU7" s="527"/>
    </row>
    <row r="8" spans="1:203" ht="20.100000000000001" customHeight="1">
      <c r="A8" s="589">
        <v>1000</v>
      </c>
      <c r="B8" s="550" t="s">
        <v>718</v>
      </c>
      <c r="C8" s="531"/>
      <c r="D8" s="617"/>
      <c r="E8" s="617"/>
      <c r="F8" s="617"/>
      <c r="G8" s="617"/>
      <c r="H8" s="617"/>
      <c r="I8" s="617">
        <v>5250</v>
      </c>
      <c r="J8" s="617">
        <v>5250</v>
      </c>
      <c r="K8" s="617">
        <v>5250</v>
      </c>
      <c r="L8" s="617"/>
      <c r="M8" s="617"/>
      <c r="N8" s="617">
        <v>5000</v>
      </c>
    </row>
    <row r="9" spans="1:203" ht="20.100000000000001" customHeight="1">
      <c r="A9" s="589">
        <v>2000</v>
      </c>
      <c r="B9" s="550" t="s">
        <v>719</v>
      </c>
      <c r="C9" s="531"/>
      <c r="D9" s="617"/>
      <c r="E9" s="617"/>
      <c r="F9" s="617">
        <v>3500</v>
      </c>
      <c r="G9" s="617">
        <v>2500</v>
      </c>
      <c r="H9" s="617">
        <v>3580</v>
      </c>
      <c r="I9" s="617">
        <v>10000</v>
      </c>
      <c r="J9" s="617"/>
      <c r="K9" s="617"/>
      <c r="L9" s="617"/>
      <c r="M9" s="617"/>
      <c r="N9" s="617">
        <v>10000</v>
      </c>
    </row>
    <row r="10" spans="1:203" ht="20.100000000000001" customHeight="1">
      <c r="A10" s="589">
        <v>3000</v>
      </c>
      <c r="B10" s="550" t="s">
        <v>720</v>
      </c>
      <c r="C10" s="531"/>
      <c r="D10" s="617">
        <f>(D8+D9)*30%</f>
        <v>0</v>
      </c>
      <c r="E10" s="617">
        <f>(E8+E9)*15%</f>
        <v>0</v>
      </c>
      <c r="F10" s="617">
        <f>(F8*15%)+(F9*5%)</f>
        <v>175</v>
      </c>
      <c r="G10" s="617">
        <f>(G8*15%)+(G9*5%)</f>
        <v>125</v>
      </c>
      <c r="H10" s="617">
        <f>H9*0.15</f>
        <v>537</v>
      </c>
      <c r="I10" s="617">
        <f>(I8*15%)+(I9*15%)</f>
        <v>2287.5</v>
      </c>
      <c r="J10" s="617">
        <f>(J8*15%)+(J9*15%)</f>
        <v>787.5</v>
      </c>
      <c r="K10" s="617">
        <f>(K8*15%)+(K9*15%)</f>
        <v>787.5</v>
      </c>
      <c r="L10" s="617"/>
      <c r="M10" s="617"/>
      <c r="N10" s="617">
        <f>(N8*0.15)+(N9*0.15)</f>
        <v>2250</v>
      </c>
    </row>
    <row r="11" spans="1:203" ht="20.100000000000001" customHeight="1">
      <c r="A11" s="589">
        <v>4000</v>
      </c>
      <c r="B11" s="550" t="s">
        <v>721</v>
      </c>
      <c r="C11" s="531"/>
      <c r="D11" s="617">
        <v>5000</v>
      </c>
      <c r="E11" s="617">
        <v>5000</v>
      </c>
      <c r="F11" s="617">
        <v>5000</v>
      </c>
      <c r="G11" s="617">
        <v>5000</v>
      </c>
      <c r="H11" s="617">
        <v>5000</v>
      </c>
      <c r="I11" s="617">
        <v>9450</v>
      </c>
      <c r="J11" s="617">
        <v>6500</v>
      </c>
      <c r="K11" s="617">
        <v>6500</v>
      </c>
      <c r="L11" s="617">
        <v>5000</v>
      </c>
      <c r="M11" s="617">
        <v>5000</v>
      </c>
      <c r="N11" s="617">
        <v>5000</v>
      </c>
    </row>
    <row r="12" spans="1:203" ht="20.100000000000001" customHeight="1">
      <c r="A12" s="589">
        <v>5000</v>
      </c>
      <c r="B12" s="550" t="s">
        <v>722</v>
      </c>
      <c r="C12" s="531"/>
      <c r="D12" s="617">
        <v>5000</v>
      </c>
      <c r="E12" s="617">
        <v>5000</v>
      </c>
      <c r="F12" s="617">
        <v>5000</v>
      </c>
      <c r="G12" s="617">
        <v>5000</v>
      </c>
      <c r="H12" s="617">
        <v>5000</v>
      </c>
      <c r="I12" s="617">
        <v>5000</v>
      </c>
      <c r="J12" s="617">
        <v>5000</v>
      </c>
      <c r="K12" s="617">
        <v>5000</v>
      </c>
      <c r="L12" s="617">
        <v>5000</v>
      </c>
      <c r="M12" s="617">
        <v>5000</v>
      </c>
      <c r="N12" s="617">
        <v>5000</v>
      </c>
    </row>
    <row r="13" spans="1:203" ht="20.100000000000001" customHeight="1">
      <c r="A13" s="589">
        <v>6000</v>
      </c>
      <c r="B13" s="550" t="s">
        <v>723</v>
      </c>
      <c r="C13" s="531"/>
      <c r="D13" s="617">
        <v>8000</v>
      </c>
      <c r="E13" s="617">
        <v>8000</v>
      </c>
      <c r="F13" s="617">
        <v>13000</v>
      </c>
      <c r="G13" s="617">
        <v>8000</v>
      </c>
      <c r="H13" s="617"/>
      <c r="I13" s="618">
        <v>29328</v>
      </c>
      <c r="J13" s="617">
        <v>40000</v>
      </c>
      <c r="K13" s="617">
        <v>40000</v>
      </c>
      <c r="L13" s="617">
        <v>13000</v>
      </c>
      <c r="M13" s="617">
        <v>8000</v>
      </c>
      <c r="N13" s="617">
        <v>13000</v>
      </c>
    </row>
    <row r="14" spans="1:203" ht="20.100000000000001" customHeight="1" thickBot="1">
      <c r="A14" s="599">
        <v>5218</v>
      </c>
      <c r="B14" s="553" t="s">
        <v>724</v>
      </c>
      <c r="C14" s="531"/>
      <c r="D14" s="619">
        <f t="shared" ref="D14:N14" si="0">SUM(D8:D13)*0.04</f>
        <v>720</v>
      </c>
      <c r="E14" s="619">
        <f t="shared" si="0"/>
        <v>720</v>
      </c>
      <c r="F14" s="619">
        <f t="shared" si="0"/>
        <v>1067</v>
      </c>
      <c r="G14" s="619">
        <f t="shared" si="0"/>
        <v>825</v>
      </c>
      <c r="H14" s="619">
        <f t="shared" si="0"/>
        <v>564.68000000000006</v>
      </c>
      <c r="I14" s="619">
        <f t="shared" si="0"/>
        <v>2452.62</v>
      </c>
      <c r="J14" s="619">
        <f t="shared" si="0"/>
        <v>2301.5</v>
      </c>
      <c r="K14" s="619">
        <f t="shared" si="0"/>
        <v>2301.5</v>
      </c>
      <c r="L14" s="619">
        <f t="shared" si="0"/>
        <v>920</v>
      </c>
      <c r="M14" s="619">
        <f t="shared" si="0"/>
        <v>720</v>
      </c>
      <c r="N14" s="619">
        <f t="shared" si="0"/>
        <v>1610</v>
      </c>
    </row>
    <row r="15" spans="1:203" ht="20.100000000000001" customHeight="1" thickBot="1">
      <c r="A15" s="620"/>
      <c r="B15" s="621" t="s">
        <v>744</v>
      </c>
      <c r="C15" s="622"/>
      <c r="D15" s="623">
        <f t="shared" ref="D15:N15" si="1">SUM(D8:D14)</f>
        <v>18720</v>
      </c>
      <c r="E15" s="623">
        <f t="shared" si="1"/>
        <v>18720</v>
      </c>
      <c r="F15" s="623">
        <f t="shared" si="1"/>
        <v>27742</v>
      </c>
      <c r="G15" s="623">
        <f t="shared" si="1"/>
        <v>21450</v>
      </c>
      <c r="H15" s="623">
        <f t="shared" si="1"/>
        <v>14681.68</v>
      </c>
      <c r="I15" s="623">
        <f t="shared" si="1"/>
        <v>63768.12</v>
      </c>
      <c r="J15" s="623">
        <f t="shared" si="1"/>
        <v>59839</v>
      </c>
      <c r="K15" s="624">
        <f t="shared" si="1"/>
        <v>59839</v>
      </c>
      <c r="L15" s="623">
        <f t="shared" si="1"/>
        <v>23920</v>
      </c>
      <c r="M15" s="623">
        <f t="shared" si="1"/>
        <v>18720</v>
      </c>
      <c r="N15" s="625">
        <f t="shared" si="1"/>
        <v>41860</v>
      </c>
    </row>
    <row r="16" spans="1:203" ht="20.100000000000001" customHeight="1">
      <c r="C16" s="527"/>
      <c r="D16" s="626"/>
      <c r="E16" s="626"/>
      <c r="F16" s="626"/>
      <c r="G16" s="626"/>
      <c r="H16" s="626"/>
      <c r="I16" s="626"/>
      <c r="J16" s="626"/>
      <c r="K16" s="626"/>
      <c r="L16" s="626"/>
      <c r="M16" s="626"/>
      <c r="N16" s="626"/>
      <c r="O16" s="627"/>
    </row>
    <row r="17" spans="1:16" ht="20.100000000000001" customHeight="1" thickBot="1">
      <c r="C17" s="527"/>
      <c r="D17" s="628"/>
      <c r="E17" s="628"/>
      <c r="F17" s="628"/>
      <c r="G17" s="628"/>
      <c r="H17" s="628"/>
      <c r="I17" s="628"/>
      <c r="J17" s="628"/>
      <c r="K17" s="628"/>
      <c r="L17" s="628"/>
      <c r="M17" s="628"/>
      <c r="N17" s="628"/>
      <c r="O17" s="566"/>
    </row>
    <row r="18" spans="1:16" ht="20.100000000000001" customHeight="1">
      <c r="A18" s="569"/>
      <c r="B18" s="570" t="s">
        <v>704</v>
      </c>
      <c r="C18" s="571"/>
      <c r="D18" s="572" t="s">
        <v>16</v>
      </c>
      <c r="E18" s="572" t="s">
        <v>17</v>
      </c>
      <c r="F18" s="573" t="s">
        <v>745</v>
      </c>
      <c r="G18" s="572" t="s">
        <v>12</v>
      </c>
      <c r="H18" s="572" t="s">
        <v>702</v>
      </c>
      <c r="I18" s="572" t="s">
        <v>14</v>
      </c>
      <c r="J18" s="572" t="s">
        <v>746</v>
      </c>
      <c r="K18" s="629" t="s">
        <v>747</v>
      </c>
      <c r="L18" s="630"/>
      <c r="M18" s="576"/>
      <c r="N18" s="577"/>
    </row>
    <row r="19" spans="1:16" ht="20.100000000000001" customHeight="1">
      <c r="A19" s="578"/>
      <c r="B19" s="530" t="s">
        <v>705</v>
      </c>
      <c r="C19" s="579"/>
      <c r="D19" s="532"/>
      <c r="E19" s="532"/>
      <c r="F19" s="532"/>
      <c r="G19" s="532"/>
      <c r="H19" s="532"/>
      <c r="I19" s="532"/>
      <c r="J19" s="532"/>
      <c r="K19" s="532"/>
      <c r="L19" s="631"/>
      <c r="M19" s="533"/>
      <c r="N19" s="582"/>
    </row>
    <row r="20" spans="1:16" ht="20.100000000000001" customHeight="1">
      <c r="A20" s="578"/>
      <c r="B20" s="535" t="s">
        <v>637</v>
      </c>
      <c r="C20" s="579"/>
      <c r="D20" s="616">
        <v>135063</v>
      </c>
      <c r="E20" s="616">
        <v>135063</v>
      </c>
      <c r="F20" s="616">
        <v>135063</v>
      </c>
      <c r="G20" s="616">
        <v>135063</v>
      </c>
      <c r="H20" s="616">
        <v>135063</v>
      </c>
      <c r="I20" s="616">
        <v>135063</v>
      </c>
      <c r="J20" s="616">
        <v>135063</v>
      </c>
      <c r="K20" s="616">
        <v>135063</v>
      </c>
      <c r="L20" s="632"/>
      <c r="M20" s="537" t="s">
        <v>748</v>
      </c>
      <c r="N20" s="582"/>
    </row>
    <row r="21" spans="1:16" ht="20.100000000000001" customHeight="1">
      <c r="A21" s="578"/>
      <c r="B21" s="535" t="s">
        <v>707</v>
      </c>
      <c r="C21" s="579"/>
      <c r="D21" s="536">
        <v>237055</v>
      </c>
      <c r="E21" s="536">
        <v>237056</v>
      </c>
      <c r="F21" s="583">
        <v>233002</v>
      </c>
      <c r="G21" s="536">
        <v>233009</v>
      </c>
      <c r="H21" s="536">
        <v>237059</v>
      </c>
      <c r="I21" s="536">
        <v>237060</v>
      </c>
      <c r="J21" s="536"/>
      <c r="K21" s="536">
        <v>237096</v>
      </c>
      <c r="L21" s="633"/>
      <c r="M21" s="537" t="s">
        <v>708</v>
      </c>
      <c r="N21" s="582"/>
    </row>
    <row r="22" spans="1:16" ht="20.100000000000001" customHeight="1">
      <c r="A22" s="578"/>
      <c r="B22" s="535" t="s">
        <v>709</v>
      </c>
      <c r="C22" s="579"/>
      <c r="D22" s="538" t="s">
        <v>749</v>
      </c>
      <c r="E22" s="538" t="s">
        <v>713</v>
      </c>
      <c r="F22" s="586" t="s">
        <v>750</v>
      </c>
      <c r="G22" s="538" t="s">
        <v>751</v>
      </c>
      <c r="H22" s="538" t="s">
        <v>752</v>
      </c>
      <c r="I22" s="538" t="s">
        <v>753</v>
      </c>
      <c r="J22" s="538" t="s">
        <v>754</v>
      </c>
      <c r="K22" s="538" t="s">
        <v>714</v>
      </c>
      <c r="L22" s="634"/>
      <c r="M22" s="537" t="s">
        <v>715</v>
      </c>
      <c r="N22" s="582"/>
    </row>
    <row r="23" spans="1:16" ht="20.100000000000001" customHeight="1">
      <c r="A23" s="589" t="s">
        <v>716</v>
      </c>
      <c r="B23" s="540" t="s">
        <v>717</v>
      </c>
      <c r="C23" s="579"/>
      <c r="D23" s="541"/>
      <c r="E23" s="541"/>
      <c r="F23" s="590"/>
      <c r="G23" s="541"/>
      <c r="H23" s="541"/>
      <c r="I23" s="541"/>
      <c r="J23" s="541"/>
      <c r="K23" s="541"/>
      <c r="L23" s="578"/>
      <c r="M23" s="542"/>
      <c r="N23" s="582"/>
    </row>
    <row r="24" spans="1:16" ht="7.5" customHeight="1">
      <c r="A24" s="545"/>
      <c r="B24" s="544"/>
      <c r="C24" s="593"/>
      <c r="D24" s="546"/>
      <c r="E24" s="546"/>
      <c r="F24" s="546"/>
      <c r="G24" s="546"/>
      <c r="H24" s="546"/>
      <c r="I24" s="546"/>
      <c r="J24" s="546"/>
      <c r="K24" s="546"/>
      <c r="L24" s="545"/>
      <c r="M24" s="547"/>
      <c r="N24" s="596"/>
    </row>
    <row r="25" spans="1:16" ht="20.100000000000001" customHeight="1">
      <c r="A25" s="589">
        <v>1000</v>
      </c>
      <c r="B25" s="550" t="s">
        <v>718</v>
      </c>
      <c r="C25" s="579"/>
      <c r="D25" s="617">
        <v>2000</v>
      </c>
      <c r="E25" s="617">
        <v>375000</v>
      </c>
      <c r="F25" s="617">
        <v>5000</v>
      </c>
      <c r="G25" s="617">
        <v>7000</v>
      </c>
      <c r="H25" s="617">
        <v>5000</v>
      </c>
      <c r="I25" s="617">
        <v>5000</v>
      </c>
      <c r="J25" s="617"/>
      <c r="K25" s="635">
        <v>100382</v>
      </c>
      <c r="L25" s="636"/>
      <c r="M25" s="762">
        <f t="shared" ref="M25:M31" si="2">D8+E8+F8+G8+H8+I8+J8+K8+L8+M8+N8+D25+E25+F25+G25+H25+I25+J25+K25</f>
        <v>520132</v>
      </c>
      <c r="N25" s="763"/>
    </row>
    <row r="26" spans="1:16" ht="20.100000000000001" customHeight="1">
      <c r="A26" s="589">
        <v>2000</v>
      </c>
      <c r="B26" s="550" t="s">
        <v>719</v>
      </c>
      <c r="C26" s="579"/>
      <c r="D26" s="617">
        <v>15000</v>
      </c>
      <c r="E26" s="617"/>
      <c r="F26" s="617"/>
      <c r="G26" s="617"/>
      <c r="H26" s="617"/>
      <c r="I26" s="617"/>
      <c r="J26" s="617">
        <v>8000</v>
      </c>
      <c r="K26" s="635">
        <v>200440</v>
      </c>
      <c r="L26" s="636"/>
      <c r="M26" s="762">
        <f t="shared" si="2"/>
        <v>253020</v>
      </c>
      <c r="N26" s="763"/>
    </row>
    <row r="27" spans="1:16" ht="20.100000000000001" customHeight="1">
      <c r="A27" s="589">
        <v>3000</v>
      </c>
      <c r="B27" s="550" t="s">
        <v>720</v>
      </c>
      <c r="C27" s="579"/>
      <c r="D27" s="617">
        <f>(D25*0.15)+(D26*0.15)</f>
        <v>2550</v>
      </c>
      <c r="E27" s="617">
        <v>144375</v>
      </c>
      <c r="F27" s="617">
        <f>(F25*0.15)+(F26*0.15)</f>
        <v>750</v>
      </c>
      <c r="G27" s="617">
        <f>(G25*0.15)+(G26*0.15)</f>
        <v>1050</v>
      </c>
      <c r="H27" s="617">
        <f>(H25*0.15)+(H26*0.15)</f>
        <v>750</v>
      </c>
      <c r="I27" s="617">
        <f>(I25*0.15)+(I26*0.15)</f>
        <v>750</v>
      </c>
      <c r="J27" s="617">
        <f>(J25*0.15)+(J26*0.15)</f>
        <v>1200</v>
      </c>
      <c r="K27" s="635">
        <f>(K25*0.45)+(K26*0.52)</f>
        <v>149400.70000000001</v>
      </c>
      <c r="L27" s="636"/>
      <c r="M27" s="762">
        <f t="shared" si="2"/>
        <v>307775.2</v>
      </c>
      <c r="N27" s="763"/>
    </row>
    <row r="28" spans="1:16" ht="20.100000000000001" customHeight="1">
      <c r="A28" s="589">
        <v>4000</v>
      </c>
      <c r="B28" s="550" t="s">
        <v>721</v>
      </c>
      <c r="C28" s="579"/>
      <c r="D28" s="617">
        <v>5000</v>
      </c>
      <c r="E28" s="617">
        <v>5000</v>
      </c>
      <c r="F28" s="617">
        <v>1000</v>
      </c>
      <c r="G28" s="617"/>
      <c r="H28" s="617">
        <v>10000</v>
      </c>
      <c r="I28" s="617">
        <v>5000</v>
      </c>
      <c r="J28" s="617">
        <v>1000</v>
      </c>
      <c r="K28" s="635">
        <v>5000</v>
      </c>
      <c r="L28" s="636"/>
      <c r="M28" s="762">
        <f t="shared" si="2"/>
        <v>94450</v>
      </c>
      <c r="N28" s="763"/>
    </row>
    <row r="29" spans="1:16" ht="20.100000000000001" customHeight="1">
      <c r="A29" s="589">
        <v>5000</v>
      </c>
      <c r="B29" s="550" t="s">
        <v>722</v>
      </c>
      <c r="C29" s="579"/>
      <c r="D29" s="617">
        <v>3000</v>
      </c>
      <c r="E29" s="617">
        <v>8000</v>
      </c>
      <c r="F29" s="617">
        <v>3000</v>
      </c>
      <c r="G29" s="617">
        <v>3150</v>
      </c>
      <c r="H29" s="617">
        <v>5000</v>
      </c>
      <c r="I29" s="617">
        <v>2000</v>
      </c>
      <c r="J29" s="617">
        <v>1000</v>
      </c>
      <c r="K29" s="635">
        <v>11405</v>
      </c>
      <c r="L29" s="636"/>
      <c r="M29" s="762">
        <f t="shared" si="2"/>
        <v>91555</v>
      </c>
      <c r="N29" s="763"/>
    </row>
    <row r="30" spans="1:16" ht="20.100000000000001" customHeight="1">
      <c r="A30" s="589">
        <v>6000</v>
      </c>
      <c r="B30" s="550" t="s">
        <v>723</v>
      </c>
      <c r="C30" s="579"/>
      <c r="D30" s="617">
        <v>5000</v>
      </c>
      <c r="E30" s="617">
        <v>13000</v>
      </c>
      <c r="F30" s="617"/>
      <c r="G30" s="617"/>
      <c r="H30" s="617"/>
      <c r="I30" s="617">
        <v>8000</v>
      </c>
      <c r="J30" s="617"/>
      <c r="K30" s="635"/>
      <c r="L30" s="636"/>
      <c r="M30" s="762">
        <f t="shared" si="2"/>
        <v>206328</v>
      </c>
      <c r="N30" s="763"/>
      <c r="P30" s="637"/>
    </row>
    <row r="31" spans="1:16" ht="20.100000000000001" customHeight="1" thickBot="1">
      <c r="A31" s="599">
        <v>5218</v>
      </c>
      <c r="B31" s="553" t="s">
        <v>724</v>
      </c>
      <c r="C31" s="579"/>
      <c r="D31" s="619">
        <f>SUM(D25:D30)*0.04</f>
        <v>1302</v>
      </c>
      <c r="E31" s="619">
        <f>SUM(E25:E30)*0.04</f>
        <v>21815</v>
      </c>
      <c r="F31" s="619">
        <f>SUM(F25:F30)*0.04</f>
        <v>390</v>
      </c>
      <c r="G31" s="619">
        <f>SUM(G25:G30)*0.04</f>
        <v>448</v>
      </c>
      <c r="H31" s="619">
        <f>SUM(H25:H30)*0.04</f>
        <v>830</v>
      </c>
      <c r="I31" s="619">
        <v>680</v>
      </c>
      <c r="J31" s="619">
        <v>680</v>
      </c>
      <c r="K31" s="619">
        <f>SUM(K25:K30)*0.04</f>
        <v>18665.108</v>
      </c>
      <c r="L31" s="638"/>
      <c r="M31" s="762">
        <f t="shared" si="2"/>
        <v>59012.408000000003</v>
      </c>
      <c r="N31" s="763"/>
      <c r="P31" s="639"/>
    </row>
    <row r="32" spans="1:16" ht="20.100000000000001" customHeight="1" thickBot="1">
      <c r="A32" s="640"/>
      <c r="B32" s="621" t="s">
        <v>744</v>
      </c>
      <c r="C32" s="641"/>
      <c r="D32" s="625">
        <f t="shared" ref="D32:K32" si="3">SUM(D25:D31)</f>
        <v>33852</v>
      </c>
      <c r="E32" s="625">
        <f t="shared" si="3"/>
        <v>567190</v>
      </c>
      <c r="F32" s="625">
        <f t="shared" si="3"/>
        <v>10140</v>
      </c>
      <c r="G32" s="625">
        <f t="shared" si="3"/>
        <v>11648</v>
      </c>
      <c r="H32" s="625">
        <f t="shared" si="3"/>
        <v>21580</v>
      </c>
      <c r="I32" s="625">
        <f t="shared" si="3"/>
        <v>21430</v>
      </c>
      <c r="J32" s="625">
        <f t="shared" si="3"/>
        <v>11880</v>
      </c>
      <c r="K32" s="642">
        <f t="shared" si="3"/>
        <v>485292.80800000002</v>
      </c>
      <c r="L32" s="643"/>
      <c r="M32" s="777">
        <f>SUM(M25:M31)</f>
        <v>1532272.608</v>
      </c>
      <c r="N32" s="778"/>
      <c r="P32" s="637"/>
    </row>
    <row r="33" spans="4:14">
      <c r="D33" s="644"/>
      <c r="E33" s="644"/>
      <c r="F33" s="644"/>
      <c r="G33" s="644"/>
      <c r="H33" s="644"/>
      <c r="I33" s="644"/>
      <c r="J33" s="644"/>
      <c r="K33" s="645"/>
      <c r="L33" s="644"/>
      <c r="M33" s="646"/>
      <c r="N33" s="647"/>
    </row>
    <row r="34" spans="4:14">
      <c r="D34" s="644"/>
      <c r="E34" s="644"/>
      <c r="F34" s="644"/>
      <c r="G34" s="644"/>
      <c r="H34" s="644"/>
      <c r="I34" s="644"/>
      <c r="J34" s="644"/>
      <c r="K34" s="648"/>
      <c r="M34" s="649"/>
      <c r="N34" s="650"/>
    </row>
    <row r="35" spans="4:14">
      <c r="E35" s="637"/>
      <c r="F35" s="637"/>
      <c r="G35" s="637"/>
      <c r="K35" s="648"/>
    </row>
  </sheetData>
  <mergeCells count="8">
    <mergeCell ref="M31:N31"/>
    <mergeCell ref="M32:N32"/>
    <mergeCell ref="M25:N25"/>
    <mergeCell ref="M26:N26"/>
    <mergeCell ref="M27:N27"/>
    <mergeCell ref="M28:N28"/>
    <mergeCell ref="M29:N29"/>
    <mergeCell ref="M30:N30"/>
  </mergeCells>
  <printOptions horizontalCentered="1" verticalCentered="1"/>
  <pageMargins left="0.45" right="0.45" top="0.5" bottom="0.25" header="0.5" footer="0.25"/>
  <pageSetup scale="65" orientation="landscape" r:id="rId1"/>
  <headerFooter alignWithMargins="0">
    <oddHeader>&amp;LDe Anza College&amp;C&amp;"Arial,Bold"&amp;14Strong Workforce Program - Local Share 
Round 7 - Fund 135063
Preliminary Budget
&amp;R&amp;"Arial,Bold"&amp;12 7/1/2022 to 12/31/2024</oddHeader>
    <oddFooter>&amp;L&amp;"Arial,Bold"&amp;11Updated: 11/29/2022&amp;C&amp;"Arial,Bold"&amp;11Allocation $1,532,273&amp;R3 NURS + PC II @100%</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dc:creator>
  <cp:keywords/>
  <dc:description/>
  <cp:lastModifiedBy/>
  <cp:revision/>
  <dcterms:created xsi:type="dcterms:W3CDTF">2023-01-13T21:28:13Z</dcterms:created>
  <dcterms:modified xsi:type="dcterms:W3CDTF">2023-03-13T19:49:57Z</dcterms:modified>
  <cp:category/>
  <cp:contentStatus/>
</cp:coreProperties>
</file>